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alnfs\pers$\akuznetsov\911\Рабочая папка\Ярлыки\Папка для временных документов\ХЛАМ\2 Калькуляторы\"/>
    </mc:Choice>
  </mc:AlternateContent>
  <xr:revisionPtr revIDLastSave="0" documentId="13_ncr:1_{1DBDAD73-1D29-420F-9615-6526EAF85DAE}" xr6:coauthVersionLast="47" xr6:coauthVersionMax="47" xr10:uidLastSave="{00000000-0000-0000-0000-000000000000}"/>
  <bookViews>
    <workbookView xWindow="30612" yWindow="-108" windowWidth="30936" windowHeight="16776" tabRatio="685" xr2:uid="{00000000-000D-0000-FFFF-FFFF00000000}"/>
  </bookViews>
  <sheets>
    <sheet name="Milan | Milan Slim" sheetId="1" r:id="rId1"/>
    <sheet name="Tokyo" sheetId="6" r:id="rId2"/>
    <sheet name="Texas" sheetId="7" r:id="rId3"/>
    <sheet name="Palermo" sheetId="9" r:id="rId4"/>
    <sheet name="Штакетник_горизонтальный" sheetId="12" r:id="rId5"/>
    <sheet name="Данные1" sheetId="5" state="veryHidden" r:id="rId6"/>
  </sheets>
  <definedNames>
    <definedName name="Belarus">0.048</definedName>
    <definedName name="BTYPS">Данные1!$A$175:$A$178</definedName>
    <definedName name="CBUAQ">Данные1!$A$184:$A$210</definedName>
    <definedName name="CCCMT">Данные1!$A$75:$A$78</definedName>
    <definedName name="CEXUI">Данные1!$A$175:$A$178</definedName>
    <definedName name="Drop" localSheetId="2">IF(Texas!$B$6="ламель125",Данные1!$N$88:$N$102, IF(AND(Texas!$B$6="ламель150",Texas!$B$7="25мм"),Данные1!$R$88:$R$94, IF(AND(Texas!$B$6="ламель150",Texas!$B$7="50мм"),Данные1!$V$88:$V$99, IF(AND(Texas!$B$6="ламель50",Texas!$B$7="25мм"),Данные1!$Z$88:$Z$116, IF(AND(Texas!$B$6="ламель50",Texas!$B$7="50мм"),Данные1!$AD$88:$AD$109, IF(AND(Texas!$B$6="ламель200",Texas!$B$7="25мм"),Данные1!$AH$88:$AH$98, IF(AND(Texas!$B$6="ламель200",Texas!$B$7="50мм"),Данные1!$AL$88:$AL$97,"")))))))</definedName>
    <definedName name="DYRFP">Данные1!$B$5:$B$31</definedName>
    <definedName name="FIGQB">Данные1!$A$42:$A$68</definedName>
    <definedName name="FYLTY">Данные1!$A$89:$A$130</definedName>
    <definedName name="GQIBE">Данные1!$A$35:$A$40</definedName>
    <definedName name="GURGW">Данные1!$B$5:$B$31</definedName>
    <definedName name="IANCJ">Данные1!$A$175:$A$178</definedName>
    <definedName name="IQDLQ">Данные1!$A$5:$A$28</definedName>
    <definedName name="JJEDD">Данные1!$A$5:$A$28</definedName>
    <definedName name="JSLDC">Данные1!$B$5:$B$31</definedName>
    <definedName name="KPHTG">Данные1!$A$184:$A$210</definedName>
    <definedName name="LHMNL">Данные1!$A$89:$A$130</definedName>
    <definedName name="MilType">Данные1!$F$5:$F$6</definedName>
    <definedName name="MRGOJ">Данные1!$A$5:$A$28</definedName>
    <definedName name="MUGNQ">Данные1!$A$175:$A$178</definedName>
    <definedName name="OGGLT">Данные1!$A$35:$A$40</definedName>
    <definedName name="PSAXR">Данные1!$A$35:$A$40</definedName>
    <definedName name="QPAFE">Данные1!$A$42:$A$65</definedName>
    <definedName name="RCHVF">Данные1!$A$221:$A$243</definedName>
    <definedName name="RCUTI">Данные1!$A$184:$A$210</definedName>
    <definedName name="RRWVS">Данные1!$A$135:$A$138</definedName>
    <definedName name="RWIPI">Данные1!$A$81:$A$83</definedName>
    <definedName name="SACMX">Данные1!$A$89:$A$130</definedName>
    <definedName name="TAYYL">Данные1!$A$35:$A$40</definedName>
    <definedName name="TexType">Данные1!$H$5:$H$6</definedName>
    <definedName name="TokyoType">Данные1!$G$5:$G$6</definedName>
    <definedName name="TTAIM">Данные1!$A$184:$A$210</definedName>
    <definedName name="VNIHD">Данные1!$A$42:$A$68</definedName>
    <definedName name="VNVOX">Данные1!$A$143:$A$170</definedName>
    <definedName name="WHMSA">Данные1!$A$42:$A$68</definedName>
    <definedName name="XCECV">Данные1!$A$89:$A$130</definedName>
    <definedName name="XODFC">Данные1!$B$5:$B$31</definedName>
    <definedName name="YAWAO">Данные1!$A$5:$A$28</definedName>
    <definedName name="Z_A22E8694_B07B_4E99_AA25_83A76CC13B05_.wvu.PrintArea" localSheetId="0" hidden="1">'Milan | Milan Slim'!$A$2:$K$87</definedName>
    <definedName name="Z_A22E8694_B07B_4E99_AA25_83A76CC13B05_.wvu.PrintArea" localSheetId="3" hidden="1">Palermo!$A$2:$K$83</definedName>
    <definedName name="Z_A22E8694_B07B_4E99_AA25_83A76CC13B05_.wvu.PrintArea" localSheetId="2" hidden="1">Texas!$A$2:$K$117</definedName>
    <definedName name="Z_A22E8694_B07B_4E99_AA25_83A76CC13B05_.wvu.PrintArea" localSheetId="1" hidden="1">Tokyo!$A$2:$K$99</definedName>
    <definedName name="Z_F69A7076_9F1C_4D95_80EA_B4A9F6043254_.wvu.PrintArea" localSheetId="0" hidden="1">'Milan | Milan Slim'!$A$2:$K$87</definedName>
    <definedName name="Z_F69A7076_9F1C_4D95_80EA_B4A9F6043254_.wvu.PrintArea" localSheetId="3" hidden="1">Palermo!$A$2:$K$83</definedName>
    <definedName name="Z_F69A7076_9F1C_4D95_80EA_B4A9F6043254_.wvu.PrintArea" localSheetId="2" hidden="1">Texas!$A$2:$K$117</definedName>
    <definedName name="Z_F69A7076_9F1C_4D95_80EA_B4A9F6043254_.wvu.PrintArea" localSheetId="1" hidden="1">Tokyo!$A$2:$K$99</definedName>
    <definedName name="_xlnm.Print_Area" localSheetId="0">'Milan | Milan Slim'!$A$2:$I$78</definedName>
    <definedName name="_xlnm.Print_Area" localSheetId="3">Palermo!$A$2:$I$84</definedName>
    <definedName name="_xlnm.Print_Area" localSheetId="2">Texas!$A$2:$I$149</definedName>
    <definedName name="_xlnm.Print_Area" localSheetId="1">Tokyo!$A$2:$I$112</definedName>
    <definedName name="_xlnm.Print_Area" localSheetId="4">Штакетник_горизонтальный!$A$1:$I$53</definedName>
    <definedName name="Ф1">Штакетник_горизонтальный!$DU$345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I70" i="1"/>
  <c r="I71" i="1" s="1"/>
  <c r="G70" i="1"/>
  <c r="G71" i="1" s="1"/>
  <c r="E70" i="1"/>
  <c r="E71" i="1" s="1"/>
  <c r="I65" i="6"/>
  <c r="G65" i="6"/>
  <c r="E65" i="6"/>
  <c r="C65" i="6"/>
  <c r="EA342" i="12" l="1"/>
  <c r="EA330" i="12"/>
  <c r="DZ344" i="12"/>
  <c r="EA344" i="12" s="1"/>
  <c r="DZ343" i="12"/>
  <c r="EA343" i="12" s="1"/>
  <c r="DZ342" i="12"/>
  <c r="DY288" i="12" s="1"/>
  <c r="DZ330" i="12"/>
  <c r="DY287" i="12" s="1"/>
  <c r="DZ309" i="12"/>
  <c r="DY286" i="12" s="1"/>
  <c r="EB382" i="12"/>
  <c r="EC382" i="12" s="1"/>
  <c r="DX380" i="12"/>
  <c r="DZ341" i="12"/>
  <c r="DX341" i="12"/>
  <c r="DZ339" i="12"/>
  <c r="DZ329" i="12"/>
  <c r="DZ336" i="12" s="1"/>
  <c r="DX329" i="12"/>
  <c r="DZ327" i="12"/>
  <c r="DZ315" i="12"/>
  <c r="DZ293" i="12" s="1"/>
  <c r="DZ312" i="12"/>
  <c r="DZ317" i="12" s="1"/>
  <c r="DZ295" i="12" s="1"/>
  <c r="DZ308" i="12"/>
  <c r="DZ318" i="12" s="1"/>
  <c r="DZ314" i="12" s="1"/>
  <c r="DZ292" i="12" s="1"/>
  <c r="DZ306" i="12"/>
  <c r="DZ284" i="12" s="1"/>
  <c r="A6" i="12"/>
  <c r="DZ302" i="12" l="1"/>
  <c r="DZ350" i="12"/>
  <c r="DY289" i="12"/>
  <c r="DZ347" i="12"/>
  <c r="DZ298" i="12" s="1"/>
  <c r="DZ300" i="12"/>
  <c r="DY290" i="12"/>
  <c r="DZ320" i="12"/>
  <c r="EC341" i="12"/>
  <c r="EB348" i="12" s="1"/>
  <c r="DZ288" i="12" s="1"/>
  <c r="EC329" i="12"/>
  <c r="DZ331" i="12" s="1"/>
  <c r="DZ316" i="12"/>
  <c r="DZ294" i="12" s="1"/>
  <c r="DZ348" i="12"/>
  <c r="DZ299" i="12" s="1"/>
  <c r="DZ313" i="12"/>
  <c r="DZ291" i="12" s="1"/>
  <c r="ED343" i="12"/>
  <c r="ED340" i="12"/>
  <c r="ED341" i="12"/>
  <c r="EC348" i="12" s="1"/>
  <c r="DZ289" i="12" s="1"/>
  <c r="ED342" i="12"/>
  <c r="EE342" i="12"/>
  <c r="EE343" i="12"/>
  <c r="EE340" i="12"/>
  <c r="EE341" i="12"/>
  <c r="ED348" i="12" s="1"/>
  <c r="DZ290" i="12" s="1"/>
  <c r="DZ328" i="12"/>
  <c r="EC307" i="12"/>
  <c r="EC310" i="12"/>
  <c r="DZ307" i="12"/>
  <c r="DZ285" i="12" s="1"/>
  <c r="EK310" i="12"/>
  <c r="EC308" i="12"/>
  <c r="ED308" i="12" s="1"/>
  <c r="DZ311" i="12" s="1"/>
  <c r="DZ286" i="12" s="1"/>
  <c r="DZ340" i="12"/>
  <c r="EC309" i="12"/>
  <c r="EC328" i="12"/>
  <c r="ED328" i="12" s="1"/>
  <c r="DZ334" i="12"/>
  <c r="DZ297" i="12" s="1"/>
  <c r="EC342" i="12"/>
  <c r="EC331" i="12"/>
  <c r="ED331" i="12" s="1"/>
  <c r="EC340" i="12"/>
  <c r="DZ310" i="12"/>
  <c r="EC343" i="12"/>
  <c r="DZ333" i="12"/>
  <c r="DZ296" i="12" s="1"/>
  <c r="EC330" i="12"/>
  <c r="ED330" i="12" s="1"/>
  <c r="I52" i="1"/>
  <c r="H52" i="1" s="1"/>
  <c r="G52" i="1"/>
  <c r="F52" i="1" s="1"/>
  <c r="E52" i="1"/>
  <c r="D52" i="1" s="1"/>
  <c r="I53" i="1"/>
  <c r="H53" i="1"/>
  <c r="G53" i="1"/>
  <c r="F53" i="1" s="1"/>
  <c r="E53" i="1"/>
  <c r="D53" i="1" s="1"/>
  <c r="I30" i="6"/>
  <c r="G30" i="6"/>
  <c r="E30" i="6"/>
  <c r="C30" i="6"/>
  <c r="I32" i="1"/>
  <c r="G32" i="1"/>
  <c r="E32" i="1"/>
  <c r="C32" i="1"/>
  <c r="C26" i="1"/>
  <c r="I33" i="6"/>
  <c r="G33" i="6"/>
  <c r="E33" i="6"/>
  <c r="C33" i="6"/>
  <c r="B34" i="6"/>
  <c r="G31" i="6"/>
  <c r="C24" i="6"/>
  <c r="C25" i="6"/>
  <c r="C27" i="7"/>
  <c r="B27" i="7" s="1"/>
  <c r="I29" i="7"/>
  <c r="I30" i="7" s="1"/>
  <c r="I27" i="7"/>
  <c r="I28" i="7" s="1"/>
  <c r="I25" i="7"/>
  <c r="I26" i="7" s="1"/>
  <c r="I23" i="7"/>
  <c r="H23" i="7" s="1"/>
  <c r="H24" i="7" s="1"/>
  <c r="G29" i="7"/>
  <c r="G30" i="7" s="1"/>
  <c r="G27" i="7"/>
  <c r="G28" i="7" s="1"/>
  <c r="G25" i="7"/>
  <c r="F25" i="7" s="1"/>
  <c r="F26" i="7" s="1"/>
  <c r="G23" i="7"/>
  <c r="G24" i="7" s="1"/>
  <c r="E29" i="7"/>
  <c r="E30" i="7" s="1"/>
  <c r="E27" i="7"/>
  <c r="E28" i="7" s="1"/>
  <c r="C25" i="7"/>
  <c r="B25" i="7" s="1"/>
  <c r="B26" i="7" s="1"/>
  <c r="E25" i="7"/>
  <c r="D25" i="7" s="1"/>
  <c r="D26" i="7" s="1"/>
  <c r="E23" i="7"/>
  <c r="D23" i="7" s="1"/>
  <c r="D24" i="7" s="1"/>
  <c r="C29" i="7"/>
  <c r="B29" i="7" s="1"/>
  <c r="C23" i="7"/>
  <c r="B23" i="7" s="1"/>
  <c r="B24" i="7" s="1"/>
  <c r="H34" i="6"/>
  <c r="F34" i="6"/>
  <c r="D34" i="6"/>
  <c r="I36" i="1"/>
  <c r="I35" i="1"/>
  <c r="G36" i="1"/>
  <c r="G35" i="1"/>
  <c r="E36" i="1"/>
  <c r="E35" i="1"/>
  <c r="C35" i="1"/>
  <c r="C36" i="1"/>
  <c r="H37" i="1"/>
  <c r="F37" i="1"/>
  <c r="D37" i="1"/>
  <c r="B37" i="1"/>
  <c r="H47" i="7"/>
  <c r="F47" i="7"/>
  <c r="D47" i="7"/>
  <c r="B47" i="7"/>
  <c r="E46" i="7"/>
  <c r="E45" i="7"/>
  <c r="I46" i="7"/>
  <c r="I45" i="7"/>
  <c r="G46" i="7"/>
  <c r="G45" i="7"/>
  <c r="C46" i="7"/>
  <c r="C45" i="7"/>
  <c r="C33" i="7"/>
  <c r="B33" i="7" s="1"/>
  <c r="E33" i="7"/>
  <c r="G33" i="7"/>
  <c r="I33" i="7"/>
  <c r="E32" i="7"/>
  <c r="G32" i="7"/>
  <c r="I32" i="7"/>
  <c r="C32" i="7"/>
  <c r="B32" i="7" s="1"/>
  <c r="C63" i="7"/>
  <c r="C61" i="7"/>
  <c r="C62" i="7" s="1"/>
  <c r="C59" i="7"/>
  <c r="C60" i="7" s="1"/>
  <c r="C43" i="7"/>
  <c r="C40" i="7"/>
  <c r="C38" i="7"/>
  <c r="B38" i="7" s="1"/>
  <c r="C37" i="7"/>
  <c r="B36" i="7"/>
  <c r="C36" i="7" s="1"/>
  <c r="B35" i="7"/>
  <c r="C35" i="7" s="1"/>
  <c r="C34" i="7"/>
  <c r="H31" i="7"/>
  <c r="F31" i="7"/>
  <c r="D31" i="7"/>
  <c r="B31" i="7"/>
  <c r="DZ319" i="12" l="1"/>
  <c r="ED329" i="12"/>
  <c r="DZ332" i="12" s="1"/>
  <c r="DZ287" i="12" s="1"/>
  <c r="EF342" i="12"/>
  <c r="EF341" i="12"/>
  <c r="EF343" i="12"/>
  <c r="EE331" i="12"/>
  <c r="EJ310" i="12"/>
  <c r="EI310" i="12" s="1"/>
  <c r="ED310" i="12"/>
  <c r="EF310" i="12"/>
  <c r="EJ308" i="12"/>
  <c r="EF307" i="12"/>
  <c r="EF308" i="12"/>
  <c r="EJ307" i="12"/>
  <c r="ED307" i="12"/>
  <c r="EF309" i="12"/>
  <c r="EJ309" i="12"/>
  <c r="ED309" i="12"/>
  <c r="EF340" i="12"/>
  <c r="H29" i="7"/>
  <c r="H30" i="7" s="1"/>
  <c r="H25" i="7"/>
  <c r="H26" i="7" s="1"/>
  <c r="G26" i="7"/>
  <c r="D29" i="7"/>
  <c r="D30" i="7" s="1"/>
  <c r="F27" i="7"/>
  <c r="F28" i="7" s="1"/>
  <c r="E26" i="7"/>
  <c r="H27" i="7"/>
  <c r="H28" i="7" s="1"/>
  <c r="I24" i="7"/>
  <c r="F23" i="7"/>
  <c r="F24" i="7" s="1"/>
  <c r="D27" i="7"/>
  <c r="D28" i="7" s="1"/>
  <c r="E24" i="7"/>
  <c r="C42" i="7"/>
  <c r="B42" i="7" s="1"/>
  <c r="E42" i="7"/>
  <c r="F29" i="7"/>
  <c r="F30" i="7" s="1"/>
  <c r="B30" i="7"/>
  <c r="C30" i="7"/>
  <c r="AM90" i="5"/>
  <c r="AM91" i="5"/>
  <c r="AM92" i="5"/>
  <c r="AM93" i="5"/>
  <c r="AM94" i="5"/>
  <c r="AM95" i="5"/>
  <c r="AM96" i="5"/>
  <c r="AM97" i="5"/>
  <c r="AM89" i="5"/>
  <c r="AI90" i="5"/>
  <c r="AI91" i="5"/>
  <c r="AI92" i="5"/>
  <c r="AI93" i="5"/>
  <c r="AI94" i="5"/>
  <c r="AI95" i="5"/>
  <c r="AI96" i="5"/>
  <c r="AI97" i="5"/>
  <c r="AI98" i="5"/>
  <c r="AI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89" i="5"/>
  <c r="I106" i="7"/>
  <c r="I105" i="7"/>
  <c r="I104" i="7"/>
  <c r="H104" i="7" s="1"/>
  <c r="I103" i="7"/>
  <c r="H103" i="7" s="1"/>
  <c r="I102" i="7"/>
  <c r="I101" i="7"/>
  <c r="I100" i="7"/>
  <c r="I99" i="7"/>
  <c r="I98" i="7"/>
  <c r="I97" i="7"/>
  <c r="I96" i="7"/>
  <c r="H96" i="7"/>
  <c r="H106" i="7" s="1"/>
  <c r="I95" i="7"/>
  <c r="H95" i="7"/>
  <c r="I93" i="7"/>
  <c r="I94" i="7" s="1"/>
  <c r="H93" i="7"/>
  <c r="H94" i="7" s="1"/>
  <c r="I91" i="7"/>
  <c r="I92" i="7" s="1"/>
  <c r="H91" i="7"/>
  <c r="H92" i="7" s="1"/>
  <c r="I89" i="7"/>
  <c r="I90" i="7" s="1"/>
  <c r="H89" i="7"/>
  <c r="H90" i="7" s="1"/>
  <c r="I87" i="7"/>
  <c r="I88" i="7" s="1"/>
  <c r="H87" i="7"/>
  <c r="H88" i="7" s="1"/>
  <c r="I85" i="7"/>
  <c r="I86" i="7" s="1"/>
  <c r="H85" i="7"/>
  <c r="H86" i="7" s="1"/>
  <c r="I83" i="7"/>
  <c r="I84" i="7" s="1"/>
  <c r="H83" i="7"/>
  <c r="H84" i="7" s="1"/>
  <c r="I81" i="7"/>
  <c r="I82" i="7" s="1"/>
  <c r="H81" i="7"/>
  <c r="H82" i="7" s="1"/>
  <c r="I79" i="7"/>
  <c r="I80" i="7" s="1"/>
  <c r="H79" i="7"/>
  <c r="H80" i="7" s="1"/>
  <c r="G106" i="7"/>
  <c r="G105" i="7"/>
  <c r="G104" i="7"/>
  <c r="F104" i="7" s="1"/>
  <c r="G103" i="7"/>
  <c r="F103" i="7" s="1"/>
  <c r="G102" i="7"/>
  <c r="G101" i="7"/>
  <c r="G100" i="7"/>
  <c r="G99" i="7"/>
  <c r="G98" i="7"/>
  <c r="G97" i="7"/>
  <c r="G96" i="7"/>
  <c r="F96" i="7"/>
  <c r="F106" i="7" s="1"/>
  <c r="G95" i="7"/>
  <c r="F95" i="7"/>
  <c r="G93" i="7"/>
  <c r="G94" i="7" s="1"/>
  <c r="F93" i="7"/>
  <c r="F94" i="7" s="1"/>
  <c r="G91" i="7"/>
  <c r="G92" i="7" s="1"/>
  <c r="F91" i="7"/>
  <c r="F92" i="7" s="1"/>
  <c r="G89" i="7"/>
  <c r="G90" i="7" s="1"/>
  <c r="F89" i="7"/>
  <c r="F90" i="7" s="1"/>
  <c r="G87" i="7"/>
  <c r="G88" i="7" s="1"/>
  <c r="F87" i="7"/>
  <c r="F88" i="7" s="1"/>
  <c r="G85" i="7"/>
  <c r="G86" i="7" s="1"/>
  <c r="F85" i="7"/>
  <c r="F86" i="7" s="1"/>
  <c r="G83" i="7"/>
  <c r="G84" i="7" s="1"/>
  <c r="F83" i="7"/>
  <c r="F84" i="7" s="1"/>
  <c r="G81" i="7"/>
  <c r="G82" i="7" s="1"/>
  <c r="F81" i="7"/>
  <c r="F82" i="7" s="1"/>
  <c r="G79" i="7"/>
  <c r="G80" i="7" s="1"/>
  <c r="F79" i="7"/>
  <c r="F80" i="7" s="1"/>
  <c r="E106" i="7"/>
  <c r="E105" i="7"/>
  <c r="E104" i="7"/>
  <c r="D104" i="7" s="1"/>
  <c r="E103" i="7"/>
  <c r="D103" i="7" s="1"/>
  <c r="E102" i="7"/>
  <c r="E101" i="7"/>
  <c r="E100" i="7"/>
  <c r="E99" i="7"/>
  <c r="E98" i="7"/>
  <c r="E97" i="7"/>
  <c r="E96" i="7"/>
  <c r="D96" i="7"/>
  <c r="D105" i="7" s="1"/>
  <c r="E95" i="7"/>
  <c r="D95" i="7"/>
  <c r="E93" i="7"/>
  <c r="E94" i="7" s="1"/>
  <c r="D93" i="7"/>
  <c r="D94" i="7" s="1"/>
  <c r="E91" i="7"/>
  <c r="E92" i="7" s="1"/>
  <c r="D91" i="7"/>
  <c r="D92" i="7" s="1"/>
  <c r="E89" i="7"/>
  <c r="E90" i="7" s="1"/>
  <c r="D89" i="7"/>
  <c r="D90" i="7" s="1"/>
  <c r="E87" i="7"/>
  <c r="E88" i="7" s="1"/>
  <c r="D87" i="7"/>
  <c r="D88" i="7" s="1"/>
  <c r="E85" i="7"/>
  <c r="E86" i="7" s="1"/>
  <c r="D85" i="7"/>
  <c r="D86" i="7" s="1"/>
  <c r="E83" i="7"/>
  <c r="E84" i="7" s="1"/>
  <c r="D83" i="7"/>
  <c r="D84" i="7" s="1"/>
  <c r="E81" i="7"/>
  <c r="E82" i="7" s="1"/>
  <c r="D81" i="7"/>
  <c r="D82" i="7" s="1"/>
  <c r="E79" i="7"/>
  <c r="E80" i="7" s="1"/>
  <c r="D79" i="7"/>
  <c r="D80" i="7" s="1"/>
  <c r="C87" i="7"/>
  <c r="I77" i="7"/>
  <c r="H77" i="7" s="1"/>
  <c r="I76" i="7"/>
  <c r="H76" i="7" s="1"/>
  <c r="I75" i="7"/>
  <c r="I74" i="7"/>
  <c r="I73" i="7"/>
  <c r="I72" i="7"/>
  <c r="I71" i="7"/>
  <c r="I70" i="7"/>
  <c r="I69" i="7"/>
  <c r="H69" i="7"/>
  <c r="I68" i="7"/>
  <c r="H68" i="7"/>
  <c r="I67" i="7"/>
  <c r="H67" i="7"/>
  <c r="I65" i="7"/>
  <c r="I66" i="7" s="1"/>
  <c r="H65" i="7"/>
  <c r="H66" i="7" s="1"/>
  <c r="I63" i="7"/>
  <c r="I64" i="7" s="1"/>
  <c r="H63" i="7"/>
  <c r="H64" i="7" s="1"/>
  <c r="I61" i="7"/>
  <c r="I62" i="7" s="1"/>
  <c r="H61" i="7"/>
  <c r="H62" i="7" s="1"/>
  <c r="I59" i="7"/>
  <c r="I60" i="7" s="1"/>
  <c r="H59" i="7"/>
  <c r="H60" i="7" s="1"/>
  <c r="G77" i="7"/>
  <c r="F77" i="7" s="1"/>
  <c r="G76" i="7"/>
  <c r="F76" i="7" s="1"/>
  <c r="G75" i="7"/>
  <c r="G74" i="7"/>
  <c r="G73" i="7"/>
  <c r="G72" i="7"/>
  <c r="G71" i="7"/>
  <c r="G70" i="7"/>
  <c r="G69" i="7"/>
  <c r="F69" i="7"/>
  <c r="G68" i="7"/>
  <c r="F68" i="7"/>
  <c r="G67" i="7"/>
  <c r="F67" i="7"/>
  <c r="G65" i="7"/>
  <c r="G66" i="7" s="1"/>
  <c r="F65" i="7"/>
  <c r="F66" i="7" s="1"/>
  <c r="G63" i="7"/>
  <c r="G64" i="7" s="1"/>
  <c r="F63" i="7"/>
  <c r="F64" i="7" s="1"/>
  <c r="G61" i="7"/>
  <c r="G62" i="7" s="1"/>
  <c r="F61" i="7"/>
  <c r="F62" i="7" s="1"/>
  <c r="G59" i="7"/>
  <c r="G60" i="7" s="1"/>
  <c r="F59" i="7"/>
  <c r="F60" i="7" s="1"/>
  <c r="E77" i="7"/>
  <c r="D77" i="7" s="1"/>
  <c r="E76" i="7"/>
  <c r="D76" i="7" s="1"/>
  <c r="E75" i="7"/>
  <c r="E74" i="7"/>
  <c r="E73" i="7"/>
  <c r="E72" i="7"/>
  <c r="E71" i="7"/>
  <c r="E70" i="7"/>
  <c r="E69" i="7"/>
  <c r="D69" i="7"/>
  <c r="E68" i="7"/>
  <c r="D68" i="7"/>
  <c r="E67" i="7"/>
  <c r="D67" i="7"/>
  <c r="E65" i="7"/>
  <c r="E66" i="7" s="1"/>
  <c r="D65" i="7"/>
  <c r="D66" i="7" s="1"/>
  <c r="E63" i="7"/>
  <c r="E64" i="7" s="1"/>
  <c r="D63" i="7"/>
  <c r="D64" i="7" s="1"/>
  <c r="E61" i="7"/>
  <c r="E62" i="7" s="1"/>
  <c r="D61" i="7"/>
  <c r="D62" i="7" s="1"/>
  <c r="E59" i="7"/>
  <c r="E60" i="7" s="1"/>
  <c r="D59" i="7"/>
  <c r="D60" i="7" s="1"/>
  <c r="H46" i="7"/>
  <c r="I43" i="7"/>
  <c r="I44" i="7" s="1"/>
  <c r="I40" i="7"/>
  <c r="I39" i="7"/>
  <c r="I41" i="7" s="1"/>
  <c r="H41" i="7" s="1"/>
  <c r="H39" i="7"/>
  <c r="I38" i="7"/>
  <c r="H38" i="7" s="1"/>
  <c r="I37" i="7"/>
  <c r="H37" i="7" s="1"/>
  <c r="H36" i="7"/>
  <c r="I36" i="7" s="1"/>
  <c r="H35" i="7"/>
  <c r="I35" i="7" s="1"/>
  <c r="I34" i="7"/>
  <c r="H34" i="7" s="1"/>
  <c r="H33" i="7"/>
  <c r="H32" i="7"/>
  <c r="F46" i="7"/>
  <c r="G43" i="7"/>
  <c r="G44" i="7" s="1"/>
  <c r="G40" i="7"/>
  <c r="G39" i="7"/>
  <c r="G41" i="7" s="1"/>
  <c r="F41" i="7" s="1"/>
  <c r="F39" i="7"/>
  <c r="G38" i="7"/>
  <c r="F38" i="7" s="1"/>
  <c r="G37" i="7"/>
  <c r="F37" i="7" s="1"/>
  <c r="F36" i="7"/>
  <c r="G36" i="7" s="1"/>
  <c r="F35" i="7"/>
  <c r="G35" i="7" s="1"/>
  <c r="G34" i="7"/>
  <c r="F34" i="7" s="1"/>
  <c r="F33" i="7"/>
  <c r="F32" i="7"/>
  <c r="D46" i="7"/>
  <c r="E43" i="7"/>
  <c r="E44" i="7" s="1"/>
  <c r="E40" i="7"/>
  <c r="E39" i="7"/>
  <c r="E41" i="7" s="1"/>
  <c r="D41" i="7" s="1"/>
  <c r="D39" i="7"/>
  <c r="E38" i="7"/>
  <c r="D38" i="7" s="1"/>
  <c r="E37" i="7"/>
  <c r="D37" i="7" s="1"/>
  <c r="D36" i="7"/>
  <c r="E36" i="7" s="1"/>
  <c r="D35" i="7"/>
  <c r="E35" i="7" s="1"/>
  <c r="E34" i="7"/>
  <c r="D34" i="7" s="1"/>
  <c r="D33" i="7"/>
  <c r="B96" i="7"/>
  <c r="B106" i="7" s="1"/>
  <c r="B95" i="7"/>
  <c r="B93" i="7"/>
  <c r="B91" i="7"/>
  <c r="B92" i="7" s="1"/>
  <c r="B89" i="7"/>
  <c r="B87" i="7"/>
  <c r="B85" i="7"/>
  <c r="B83" i="7"/>
  <c r="B81" i="7"/>
  <c r="B79" i="7"/>
  <c r="B69" i="7"/>
  <c r="B68" i="7"/>
  <c r="B67" i="7"/>
  <c r="B65" i="7"/>
  <c r="B63" i="7"/>
  <c r="B61" i="7"/>
  <c r="B59" i="7"/>
  <c r="C104" i="7"/>
  <c r="C103" i="7"/>
  <c r="C102" i="7"/>
  <c r="C101" i="7"/>
  <c r="C100" i="7"/>
  <c r="C99" i="7"/>
  <c r="C98" i="7"/>
  <c r="C97" i="7"/>
  <c r="C96" i="7"/>
  <c r="C95" i="7"/>
  <c r="C93" i="7"/>
  <c r="C91" i="7"/>
  <c r="C89" i="7"/>
  <c r="C85" i="7"/>
  <c r="C83" i="7"/>
  <c r="C81" i="7"/>
  <c r="C79" i="7"/>
  <c r="C80" i="7" s="1"/>
  <c r="C76" i="7"/>
  <c r="C75" i="7"/>
  <c r="C74" i="7"/>
  <c r="C73" i="7"/>
  <c r="C72" i="7"/>
  <c r="C71" i="7"/>
  <c r="C70" i="7"/>
  <c r="C68" i="7"/>
  <c r="C67" i="7"/>
  <c r="C65" i="7"/>
  <c r="B28" i="7"/>
  <c r="T76" i="5"/>
  <c r="I53" i="6"/>
  <c r="H53" i="6" s="1"/>
  <c r="G53" i="6"/>
  <c r="F53" i="6" s="1"/>
  <c r="E53" i="6"/>
  <c r="D53" i="6" s="1"/>
  <c r="C53" i="6"/>
  <c r="I58" i="1"/>
  <c r="H58" i="1" s="1"/>
  <c r="I57" i="1"/>
  <c r="H57" i="1" s="1"/>
  <c r="G58" i="1"/>
  <c r="F58" i="1" s="1"/>
  <c r="G57" i="1"/>
  <c r="F57" i="1" s="1"/>
  <c r="E58" i="1"/>
  <c r="D58" i="1" s="1"/>
  <c r="E57" i="1"/>
  <c r="D57" i="1" s="1"/>
  <c r="H71" i="1"/>
  <c r="H70" i="1"/>
  <c r="F71" i="1"/>
  <c r="F70" i="1"/>
  <c r="D71" i="1"/>
  <c r="D70" i="1"/>
  <c r="H25" i="1"/>
  <c r="I25" i="1" s="1"/>
  <c r="H24" i="1"/>
  <c r="I24" i="1" s="1"/>
  <c r="F25" i="1"/>
  <c r="G25" i="1" s="1"/>
  <c r="F24" i="1"/>
  <c r="G24" i="1" s="1"/>
  <c r="D25" i="1"/>
  <c r="E25" i="1" s="1"/>
  <c r="D24" i="1"/>
  <c r="E24" i="1" s="1"/>
  <c r="B25" i="1"/>
  <c r="C25" i="1" s="1"/>
  <c r="B24" i="1"/>
  <c r="B46" i="7"/>
  <c r="A64" i="1"/>
  <c r="A63" i="1"/>
  <c r="A61" i="1"/>
  <c r="A60" i="1"/>
  <c r="H36" i="1"/>
  <c r="H35" i="1"/>
  <c r="F36" i="1"/>
  <c r="F35" i="1"/>
  <c r="D36" i="1"/>
  <c r="D35" i="1"/>
  <c r="B36" i="1"/>
  <c r="B35" i="1"/>
  <c r="C27" i="1"/>
  <c r="A18" i="1"/>
  <c r="A51" i="1"/>
  <c r="A28" i="1"/>
  <c r="C106" i="7"/>
  <c r="C105" i="7"/>
  <c r="B37" i="7"/>
  <c r="I24" i="6"/>
  <c r="G24" i="6"/>
  <c r="E24" i="6"/>
  <c r="I26" i="1"/>
  <c r="G26" i="1"/>
  <c r="E26" i="1"/>
  <c r="B23" i="1"/>
  <c r="A27" i="1"/>
  <c r="A62" i="1"/>
  <c r="A50" i="1"/>
  <c r="I33" i="1"/>
  <c r="H33" i="1" s="1"/>
  <c r="I30" i="1"/>
  <c r="I29" i="1"/>
  <c r="I28" i="1"/>
  <c r="I27" i="1"/>
  <c r="I31" i="1" s="1"/>
  <c r="H31" i="1" s="1"/>
  <c r="H28" i="1"/>
  <c r="H27" i="1"/>
  <c r="H26" i="1"/>
  <c r="H23" i="1"/>
  <c r="I23" i="1" s="1"/>
  <c r="H22" i="1"/>
  <c r="I22" i="1" s="1"/>
  <c r="G33" i="1"/>
  <c r="G34" i="1" s="1"/>
  <c r="G30" i="1"/>
  <c r="G29" i="1"/>
  <c r="G28" i="1"/>
  <c r="G27" i="1"/>
  <c r="G31" i="1" s="1"/>
  <c r="F31" i="1" s="1"/>
  <c r="F28" i="1"/>
  <c r="F27" i="1"/>
  <c r="F26" i="1"/>
  <c r="F23" i="1"/>
  <c r="G23" i="1" s="1"/>
  <c r="F22" i="1"/>
  <c r="G22" i="1" s="1"/>
  <c r="E33" i="1"/>
  <c r="D33" i="1" s="1"/>
  <c r="E30" i="1"/>
  <c r="E29" i="1"/>
  <c r="E28" i="1"/>
  <c r="E27" i="1"/>
  <c r="E31" i="1" s="1"/>
  <c r="D31" i="1" s="1"/>
  <c r="D28" i="1"/>
  <c r="D27" i="1"/>
  <c r="D26" i="1"/>
  <c r="D23" i="1"/>
  <c r="E23" i="1" s="1"/>
  <c r="D22" i="1"/>
  <c r="E22" i="1" s="1"/>
  <c r="C60" i="1"/>
  <c r="B60" i="1" s="1"/>
  <c r="A49" i="1"/>
  <c r="A22" i="1"/>
  <c r="I64" i="6"/>
  <c r="G64" i="6"/>
  <c r="E64" i="6"/>
  <c r="C64" i="6"/>
  <c r="I69" i="1"/>
  <c r="G69" i="1"/>
  <c r="E69" i="1"/>
  <c r="C69" i="1"/>
  <c r="L20" i="5"/>
  <c r="L21" i="5" s="1"/>
  <c r="L22" i="5" s="1"/>
  <c r="L23" i="5" s="1"/>
  <c r="L24" i="5" s="1"/>
  <c r="L25" i="5" s="1"/>
  <c r="L26" i="5" s="1"/>
  <c r="L27" i="5" s="1"/>
  <c r="L28" i="5" s="1"/>
  <c r="H23" i="6"/>
  <c r="H22" i="6"/>
  <c r="F23" i="6"/>
  <c r="F22" i="6"/>
  <c r="D23" i="6"/>
  <c r="D22" i="6"/>
  <c r="B23" i="6"/>
  <c r="B22" i="6"/>
  <c r="B27" i="1"/>
  <c r="DZ345" i="12" l="1"/>
  <c r="DZ346" i="12"/>
  <c r="DZ349" i="12" s="1"/>
  <c r="DZ335" i="12"/>
  <c r="EG343" i="12"/>
  <c r="EE310" i="12"/>
  <c r="I42" i="7"/>
  <c r="H42" i="7" s="1"/>
  <c r="G42" i="7"/>
  <c r="F42" i="7" s="1"/>
  <c r="C24" i="7"/>
  <c r="D43" i="7"/>
  <c r="H105" i="7"/>
  <c r="F105" i="7"/>
  <c r="D106" i="7"/>
  <c r="F43" i="7"/>
  <c r="H43" i="7"/>
  <c r="H45" i="7"/>
  <c r="F45" i="7"/>
  <c r="D32" i="7"/>
  <c r="D45" i="7"/>
  <c r="D32" i="1"/>
  <c r="F32" i="1"/>
  <c r="F33" i="1"/>
  <c r="H32" i="1"/>
  <c r="F33" i="6"/>
  <c r="C24" i="1"/>
  <c r="I34" i="1"/>
  <c r="B45" i="7"/>
  <c r="H33" i="6"/>
  <c r="D33" i="6"/>
  <c r="B33" i="6"/>
  <c r="B105" i="7"/>
  <c r="E34" i="1"/>
  <c r="H58" i="6"/>
  <c r="H57" i="6"/>
  <c r="H64" i="6" s="1"/>
  <c r="F58" i="6"/>
  <c r="F57" i="6"/>
  <c r="D58" i="6"/>
  <c r="D57" i="6"/>
  <c r="D64" i="6" s="1"/>
  <c r="B58" i="6"/>
  <c r="B57" i="6"/>
  <c r="B64" i="6" s="1"/>
  <c r="H48" i="6"/>
  <c r="H47" i="6"/>
  <c r="H46" i="6"/>
  <c r="F48" i="6"/>
  <c r="F47" i="6"/>
  <c r="F46" i="6"/>
  <c r="D48" i="6"/>
  <c r="D47" i="6"/>
  <c r="D46" i="6"/>
  <c r="B48" i="6"/>
  <c r="B47" i="6"/>
  <c r="B46" i="6"/>
  <c r="H51" i="1"/>
  <c r="H50" i="1"/>
  <c r="H49" i="1"/>
  <c r="F51" i="1"/>
  <c r="F50" i="1"/>
  <c r="F49" i="1"/>
  <c r="D51" i="1"/>
  <c r="D50" i="1"/>
  <c r="D49" i="1"/>
  <c r="H63" i="1"/>
  <c r="H62" i="1"/>
  <c r="H69" i="1" s="1"/>
  <c r="F63" i="1"/>
  <c r="F62" i="1"/>
  <c r="F69" i="1" s="1"/>
  <c r="D63" i="1"/>
  <c r="D62" i="1"/>
  <c r="D69" i="1" s="1"/>
  <c r="B62" i="1"/>
  <c r="B69" i="1" s="1"/>
  <c r="B63" i="1"/>
  <c r="B51" i="1"/>
  <c r="B50" i="1"/>
  <c r="C57" i="6"/>
  <c r="E57" i="6"/>
  <c r="G57" i="6"/>
  <c r="I57" i="6"/>
  <c r="F64" i="6"/>
  <c r="B49" i="1"/>
  <c r="H24" i="6"/>
  <c r="F24" i="6"/>
  <c r="D24" i="6"/>
  <c r="H26" i="6"/>
  <c r="H25" i="6"/>
  <c r="F26" i="6"/>
  <c r="F25" i="6"/>
  <c r="D26" i="6"/>
  <c r="D25" i="6"/>
  <c r="B34" i="7"/>
  <c r="B24" i="6"/>
  <c r="B39" i="7"/>
  <c r="B26" i="6"/>
  <c r="B25" i="6"/>
  <c r="A15" i="9"/>
  <c r="A19" i="7"/>
  <c r="A17" i="6"/>
  <c r="B28" i="1"/>
  <c r="B26" i="1"/>
  <c r="I70" i="9"/>
  <c r="I69" i="9"/>
  <c r="I68" i="9"/>
  <c r="I67" i="9"/>
  <c r="I66" i="9"/>
  <c r="H66" i="9"/>
  <c r="I65" i="9"/>
  <c r="H65" i="9"/>
  <c r="I64" i="9"/>
  <c r="H64" i="9" s="1"/>
  <c r="I63" i="9"/>
  <c r="H63" i="9"/>
  <c r="I62" i="9"/>
  <c r="H62" i="9" s="1"/>
  <c r="I61" i="9"/>
  <c r="H61" i="9"/>
  <c r="I60" i="9"/>
  <c r="H60" i="9"/>
  <c r="I59" i="9"/>
  <c r="H59" i="9" s="1"/>
  <c r="I58" i="9"/>
  <c r="H58" i="9" s="1"/>
  <c r="I57" i="9"/>
  <c r="H57" i="9" s="1"/>
  <c r="I56" i="9"/>
  <c r="H56" i="9" s="1"/>
  <c r="G70" i="9"/>
  <c r="G69" i="9"/>
  <c r="G68" i="9"/>
  <c r="G67" i="9"/>
  <c r="G66" i="9"/>
  <c r="F66" i="9"/>
  <c r="G65" i="9"/>
  <c r="F65" i="9"/>
  <c r="G64" i="9"/>
  <c r="F64" i="9" s="1"/>
  <c r="G63" i="9"/>
  <c r="F63" i="9"/>
  <c r="G62" i="9"/>
  <c r="F62" i="9" s="1"/>
  <c r="G61" i="9"/>
  <c r="F61" i="9"/>
  <c r="G60" i="9"/>
  <c r="F60" i="9"/>
  <c r="G59" i="9"/>
  <c r="F59" i="9" s="1"/>
  <c r="G58" i="9"/>
  <c r="F58" i="9" s="1"/>
  <c r="G57" i="9"/>
  <c r="F57" i="9" s="1"/>
  <c r="G56" i="9"/>
  <c r="F56" i="9" s="1"/>
  <c r="E70" i="9"/>
  <c r="E69" i="9"/>
  <c r="E68" i="9"/>
  <c r="E67" i="9"/>
  <c r="E66" i="9"/>
  <c r="D66" i="9"/>
  <c r="E65" i="9"/>
  <c r="D65" i="9"/>
  <c r="E64" i="9"/>
  <c r="D64" i="9" s="1"/>
  <c r="E63" i="9"/>
  <c r="D63" i="9"/>
  <c r="E62" i="9"/>
  <c r="D62" i="9" s="1"/>
  <c r="E61" i="9"/>
  <c r="D61" i="9"/>
  <c r="E60" i="9"/>
  <c r="D60" i="9"/>
  <c r="E59" i="9"/>
  <c r="D59" i="9" s="1"/>
  <c r="E58" i="9"/>
  <c r="D58" i="9" s="1"/>
  <c r="E57" i="9"/>
  <c r="D57" i="9" s="1"/>
  <c r="E56" i="9"/>
  <c r="D56" i="9" s="1"/>
  <c r="I63" i="6"/>
  <c r="I62" i="6"/>
  <c r="I61" i="6"/>
  <c r="I60" i="6"/>
  <c r="H60" i="6" s="1"/>
  <c r="I59" i="6"/>
  <c r="H59" i="6" s="1"/>
  <c r="I58" i="6"/>
  <c r="I56" i="6"/>
  <c r="H56" i="6" s="1"/>
  <c r="I55" i="6"/>
  <c r="H55" i="6" s="1"/>
  <c r="G63" i="6"/>
  <c r="G62" i="6"/>
  <c r="G61" i="6"/>
  <c r="G60" i="6"/>
  <c r="F60" i="6" s="1"/>
  <c r="G59" i="6"/>
  <c r="F59" i="6" s="1"/>
  <c r="G58" i="6"/>
  <c r="G56" i="6"/>
  <c r="F56" i="6" s="1"/>
  <c r="G55" i="6"/>
  <c r="F55" i="6" s="1"/>
  <c r="E63" i="6"/>
  <c r="E62" i="6"/>
  <c r="E61" i="6"/>
  <c r="E60" i="6"/>
  <c r="D60" i="6" s="1"/>
  <c r="E59" i="6"/>
  <c r="D59" i="6" s="1"/>
  <c r="E58" i="6"/>
  <c r="E56" i="6"/>
  <c r="D56" i="6" s="1"/>
  <c r="E55" i="6"/>
  <c r="D55" i="6" s="1"/>
  <c r="I68" i="1"/>
  <c r="I67" i="1"/>
  <c r="I66" i="1"/>
  <c r="I65" i="1"/>
  <c r="H65" i="1" s="1"/>
  <c r="I64" i="1"/>
  <c r="H64" i="1" s="1"/>
  <c r="I63" i="1"/>
  <c r="I62" i="1"/>
  <c r="I61" i="1"/>
  <c r="H61" i="1" s="1"/>
  <c r="I60" i="1"/>
  <c r="H60" i="1" s="1"/>
  <c r="G68" i="1"/>
  <c r="G67" i="1"/>
  <c r="G66" i="1"/>
  <c r="G65" i="1"/>
  <c r="F65" i="1" s="1"/>
  <c r="G64" i="1"/>
  <c r="F64" i="1" s="1"/>
  <c r="G63" i="1"/>
  <c r="G62" i="1"/>
  <c r="G61" i="1"/>
  <c r="F61" i="1" s="1"/>
  <c r="G60" i="1"/>
  <c r="F60" i="1" s="1"/>
  <c r="E68" i="1"/>
  <c r="E67" i="1"/>
  <c r="E66" i="1"/>
  <c r="E65" i="1"/>
  <c r="D65" i="1" s="1"/>
  <c r="E64" i="1"/>
  <c r="D64" i="1" s="1"/>
  <c r="E63" i="1"/>
  <c r="E62" i="1"/>
  <c r="E61" i="1"/>
  <c r="D61" i="1" s="1"/>
  <c r="E60" i="1"/>
  <c r="D60" i="1" s="1"/>
  <c r="DZ301" i="12" l="1"/>
  <c r="D42" i="7"/>
  <c r="C70" i="9"/>
  <c r="C69" i="9"/>
  <c r="C68" i="9"/>
  <c r="C67" i="9"/>
  <c r="C66" i="9"/>
  <c r="B66" i="9"/>
  <c r="C65" i="9"/>
  <c r="B65" i="9"/>
  <c r="C64" i="9"/>
  <c r="B64" i="9" s="1"/>
  <c r="C63" i="9"/>
  <c r="B63" i="9"/>
  <c r="C62" i="9"/>
  <c r="B62" i="9" s="1"/>
  <c r="C61" i="9"/>
  <c r="B61" i="9"/>
  <c r="C60" i="9"/>
  <c r="B60" i="9"/>
  <c r="C59" i="9"/>
  <c r="B59" i="9" s="1"/>
  <c r="C58" i="9"/>
  <c r="B58" i="9" s="1"/>
  <c r="C57" i="9"/>
  <c r="B57" i="9" s="1"/>
  <c r="C56" i="9"/>
  <c r="B56" i="9" s="1"/>
  <c r="C63" i="6"/>
  <c r="C62" i="6"/>
  <c r="C61" i="6"/>
  <c r="C60" i="6"/>
  <c r="C59" i="6"/>
  <c r="B59" i="6" s="1"/>
  <c r="C58" i="6"/>
  <c r="C56" i="6"/>
  <c r="B56" i="6" s="1"/>
  <c r="C55" i="6"/>
  <c r="B55" i="6" s="1"/>
  <c r="A44" i="1"/>
  <c r="C68" i="1"/>
  <c r="C67" i="1"/>
  <c r="C66" i="1"/>
  <c r="C65" i="1"/>
  <c r="C64" i="1"/>
  <c r="B64" i="1" s="1"/>
  <c r="C63" i="1"/>
  <c r="C62" i="1"/>
  <c r="C61" i="1"/>
  <c r="B61" i="1" s="1"/>
  <c r="C94" i="7"/>
  <c r="B94" i="7"/>
  <c r="C90" i="7"/>
  <c r="B90" i="7"/>
  <c r="C86" i="7"/>
  <c r="B86" i="7"/>
  <c r="C82" i="7"/>
  <c r="B82" i="7"/>
  <c r="C84" i="7"/>
  <c r="B84" i="7"/>
  <c r="B103" i="7"/>
  <c r="C92" i="7"/>
  <c r="C88" i="7"/>
  <c r="B88" i="7"/>
  <c r="A57" i="7" l="1"/>
  <c r="A56" i="7"/>
  <c r="A55" i="7"/>
  <c r="A54" i="7"/>
  <c r="C54" i="7" s="1"/>
  <c r="A49" i="7"/>
  <c r="A52" i="7"/>
  <c r="A51" i="7"/>
  <c r="G51" i="7" s="1"/>
  <c r="A50" i="7"/>
  <c r="E50" i="7" s="1"/>
  <c r="H19" i="9"/>
  <c r="I19" i="9" s="1"/>
  <c r="F19" i="9"/>
  <c r="G19" i="9" s="1"/>
  <c r="D19" i="9"/>
  <c r="E19" i="9" s="1"/>
  <c r="B19" i="9"/>
  <c r="C19" i="9" s="1"/>
  <c r="A42" i="9"/>
  <c r="A41" i="9"/>
  <c r="A40" i="9"/>
  <c r="A39" i="9"/>
  <c r="A37" i="9"/>
  <c r="A36" i="9"/>
  <c r="A35" i="9"/>
  <c r="A34" i="9"/>
  <c r="C28" i="6"/>
  <c r="C27" i="6"/>
  <c r="C26" i="6"/>
  <c r="C29" i="6"/>
  <c r="B29" i="6" s="1"/>
  <c r="B21" i="6"/>
  <c r="C21" i="6" s="1"/>
  <c r="C52" i="6"/>
  <c r="E52" i="6"/>
  <c r="G52" i="6"/>
  <c r="I52" i="6"/>
  <c r="I56" i="1"/>
  <c r="A44" i="6"/>
  <c r="A43" i="6"/>
  <c r="A42" i="6"/>
  <c r="A41" i="6"/>
  <c r="A39" i="6"/>
  <c r="A38" i="6"/>
  <c r="A37" i="6"/>
  <c r="A36" i="6"/>
  <c r="C36" i="6" s="1"/>
  <c r="C31" i="6" l="1"/>
  <c r="C32" i="6" s="1"/>
  <c r="B53" i="6"/>
  <c r="B22" i="1"/>
  <c r="C22" i="1" s="1"/>
  <c r="A47" i="1"/>
  <c r="A46" i="1"/>
  <c r="A45" i="1"/>
  <c r="A42" i="1"/>
  <c r="A41" i="1"/>
  <c r="A40" i="1"/>
  <c r="A39" i="1"/>
  <c r="I47" i="1"/>
  <c r="G46" i="1"/>
  <c r="E45" i="1"/>
  <c r="C44" i="1"/>
  <c r="I42" i="1"/>
  <c r="G41" i="1"/>
  <c r="E40" i="1"/>
  <c r="C39" i="1"/>
  <c r="C55" i="1"/>
  <c r="C71" i="1" l="1"/>
  <c r="B71" i="1" s="1"/>
  <c r="B70" i="1"/>
  <c r="C57" i="1"/>
  <c r="B57" i="1" s="1"/>
  <c r="C58" i="1"/>
  <c r="B58" i="1" s="1"/>
  <c r="I54" i="9" l="1"/>
  <c r="G54" i="9"/>
  <c r="E54" i="9"/>
  <c r="C54" i="9"/>
  <c r="I50" i="9"/>
  <c r="H50" i="9"/>
  <c r="G50" i="9"/>
  <c r="F50" i="9"/>
  <c r="E50" i="9"/>
  <c r="D50" i="9"/>
  <c r="C50" i="9"/>
  <c r="B50" i="9"/>
  <c r="I49" i="9"/>
  <c r="H49" i="9"/>
  <c r="G49" i="9"/>
  <c r="F49" i="9"/>
  <c r="E49" i="9"/>
  <c r="D49" i="9"/>
  <c r="C49" i="9"/>
  <c r="B49" i="9"/>
  <c r="I48" i="9"/>
  <c r="H48" i="9"/>
  <c r="G48" i="9"/>
  <c r="F48" i="9"/>
  <c r="E48" i="9"/>
  <c r="D48" i="9"/>
  <c r="C48" i="9"/>
  <c r="B48" i="9"/>
  <c r="I47" i="9"/>
  <c r="H47" i="9"/>
  <c r="G47" i="9"/>
  <c r="F47" i="9"/>
  <c r="E47" i="9"/>
  <c r="D47" i="9"/>
  <c r="C47" i="9"/>
  <c r="B47" i="9"/>
  <c r="I46" i="9"/>
  <c r="H46" i="9"/>
  <c r="G46" i="9"/>
  <c r="F46" i="9"/>
  <c r="E46" i="9"/>
  <c r="D46" i="9"/>
  <c r="C46" i="9"/>
  <c r="B46" i="9"/>
  <c r="I45" i="9"/>
  <c r="H45" i="9" s="1"/>
  <c r="G45" i="9"/>
  <c r="F45" i="9" s="1"/>
  <c r="E45" i="9"/>
  <c r="D45" i="9" s="1"/>
  <c r="C45" i="9"/>
  <c r="B45" i="9" s="1"/>
  <c r="I44" i="9"/>
  <c r="H44" i="9" s="1"/>
  <c r="G44" i="9"/>
  <c r="F44" i="9" s="1"/>
  <c r="E44" i="9"/>
  <c r="D44" i="9" s="1"/>
  <c r="C44" i="9"/>
  <c r="B44" i="9" s="1"/>
  <c r="I53" i="9"/>
  <c r="I52" i="9"/>
  <c r="G53" i="9"/>
  <c r="G52" i="9"/>
  <c r="E53" i="9"/>
  <c r="E52" i="9"/>
  <c r="C53" i="9"/>
  <c r="C52" i="9"/>
  <c r="I51" i="9"/>
  <c r="G51" i="9"/>
  <c r="E51" i="9"/>
  <c r="C51" i="9"/>
  <c r="G56" i="1"/>
  <c r="E56" i="1"/>
  <c r="C56" i="1"/>
  <c r="I49" i="6"/>
  <c r="G49" i="6"/>
  <c r="E49" i="6"/>
  <c r="C49" i="6"/>
  <c r="I74" i="9" l="1"/>
  <c r="G74" i="9"/>
  <c r="E74" i="9"/>
  <c r="C74" i="9"/>
  <c r="I42" i="9" l="1"/>
  <c r="G41" i="9"/>
  <c r="E40" i="9"/>
  <c r="C39" i="9"/>
  <c r="I37" i="9"/>
  <c r="G36" i="9"/>
  <c r="E35" i="9"/>
  <c r="C34" i="9"/>
  <c r="I51" i="6" l="1"/>
  <c r="G51" i="6"/>
  <c r="E51" i="6"/>
  <c r="C51" i="6"/>
  <c r="I50" i="6"/>
  <c r="G50" i="6"/>
  <c r="E50" i="6"/>
  <c r="C50" i="6"/>
  <c r="H49" i="6"/>
  <c r="I48" i="6"/>
  <c r="G48" i="6"/>
  <c r="E48" i="6"/>
  <c r="C48" i="6"/>
  <c r="I47" i="6"/>
  <c r="G47" i="6"/>
  <c r="E47" i="6"/>
  <c r="C47" i="6"/>
  <c r="I46" i="6"/>
  <c r="G46" i="6"/>
  <c r="E46" i="6"/>
  <c r="C46" i="6"/>
  <c r="I44" i="6"/>
  <c r="G43" i="6"/>
  <c r="E42" i="6"/>
  <c r="C41" i="6"/>
  <c r="I39" i="6"/>
  <c r="G38" i="6"/>
  <c r="E37" i="6"/>
  <c r="I55" i="1"/>
  <c r="G55" i="1"/>
  <c r="E55" i="1"/>
  <c r="I54" i="1"/>
  <c r="G54" i="1"/>
  <c r="E54" i="1"/>
  <c r="C54" i="1"/>
  <c r="I51" i="1"/>
  <c r="G51" i="1"/>
  <c r="E51" i="1"/>
  <c r="C51" i="1"/>
  <c r="I50" i="1"/>
  <c r="G50" i="1"/>
  <c r="E50" i="1"/>
  <c r="C50" i="1"/>
  <c r="I49" i="1"/>
  <c r="G49" i="1"/>
  <c r="E49" i="1"/>
  <c r="C49" i="1"/>
  <c r="I30" i="9"/>
  <c r="G30" i="9"/>
  <c r="I31" i="9"/>
  <c r="I75" i="9" s="1"/>
  <c r="G31" i="9"/>
  <c r="G32" i="9" s="1"/>
  <c r="E31" i="9"/>
  <c r="D31" i="9" s="1"/>
  <c r="C31" i="9"/>
  <c r="C32" i="9" s="1"/>
  <c r="I29" i="9"/>
  <c r="I72" i="9" s="1"/>
  <c r="G29" i="9"/>
  <c r="G72" i="9" s="1"/>
  <c r="I111" i="7"/>
  <c r="G111" i="7"/>
  <c r="E111" i="7"/>
  <c r="C111" i="7"/>
  <c r="C69" i="6"/>
  <c r="E31" i="6"/>
  <c r="E69" i="6" s="1"/>
  <c r="I31" i="6"/>
  <c r="I69" i="6" s="1"/>
  <c r="G32" i="6"/>
  <c r="I75" i="1"/>
  <c r="G75" i="1"/>
  <c r="E75" i="1"/>
  <c r="C33" i="1"/>
  <c r="C75" i="1" s="1"/>
  <c r="C28" i="9"/>
  <c r="F27" i="9"/>
  <c r="G27" i="9" s="1"/>
  <c r="D27" i="9"/>
  <c r="E27" i="9" s="1"/>
  <c r="B27" i="9"/>
  <c r="C27" i="9" s="1"/>
  <c r="B26" i="9"/>
  <c r="C26" i="9" s="1"/>
  <c r="H25" i="9"/>
  <c r="I25" i="9" s="1"/>
  <c r="F25" i="9"/>
  <c r="G25" i="9" s="1"/>
  <c r="D25" i="9"/>
  <c r="E25" i="9" s="1"/>
  <c r="B25" i="9"/>
  <c r="C25" i="9" s="1"/>
  <c r="H23" i="9"/>
  <c r="H24" i="9" s="1"/>
  <c r="F23" i="9"/>
  <c r="G23" i="9" s="1"/>
  <c r="D23" i="9"/>
  <c r="D24" i="9" s="1"/>
  <c r="B23" i="9"/>
  <c r="C23" i="9" s="1"/>
  <c r="H21" i="9"/>
  <c r="I21" i="9" s="1"/>
  <c r="F21" i="9"/>
  <c r="G21" i="9" s="1"/>
  <c r="D21" i="9"/>
  <c r="E21" i="9" s="1"/>
  <c r="B21" i="9"/>
  <c r="C21" i="9" s="1"/>
  <c r="H20" i="9"/>
  <c r="I20" i="9" s="1"/>
  <c r="F20" i="9"/>
  <c r="G20" i="9" s="1"/>
  <c r="D20" i="9"/>
  <c r="E20" i="9" s="1"/>
  <c r="B20" i="9"/>
  <c r="C20" i="9" s="1"/>
  <c r="D26" i="9"/>
  <c r="E26" i="9" s="1"/>
  <c r="I28" i="9"/>
  <c r="G28" i="9"/>
  <c r="E28" i="9"/>
  <c r="H27" i="9"/>
  <c r="I27" i="9" s="1"/>
  <c r="H26" i="9"/>
  <c r="I26" i="9" s="1"/>
  <c r="F26" i="9"/>
  <c r="G26" i="9" s="1"/>
  <c r="C30" i="1"/>
  <c r="B60" i="7"/>
  <c r="B104" i="7"/>
  <c r="B80" i="7"/>
  <c r="C77" i="7"/>
  <c r="C69" i="7"/>
  <c r="B66" i="7"/>
  <c r="B64" i="7"/>
  <c r="B62" i="7"/>
  <c r="I57" i="7"/>
  <c r="G56" i="7"/>
  <c r="E55" i="7"/>
  <c r="I52" i="7"/>
  <c r="C49" i="7"/>
  <c r="C39" i="7"/>
  <c r="C41" i="7" s="1"/>
  <c r="B41" i="7" s="1"/>
  <c r="F49" i="6"/>
  <c r="E26" i="6"/>
  <c r="I27" i="6"/>
  <c r="I26" i="6"/>
  <c r="I25" i="6"/>
  <c r="I29" i="6" s="1"/>
  <c r="I23" i="6"/>
  <c r="H21" i="6"/>
  <c r="I21" i="6" s="1"/>
  <c r="I68" i="6" s="1"/>
  <c r="G27" i="6"/>
  <c r="G26" i="6"/>
  <c r="G25" i="6"/>
  <c r="G29" i="6" s="1"/>
  <c r="G23" i="6"/>
  <c r="G22" i="6"/>
  <c r="F21" i="6"/>
  <c r="G21" i="6" s="1"/>
  <c r="F30" i="6" s="1"/>
  <c r="E27" i="6"/>
  <c r="E25" i="6"/>
  <c r="E29" i="6" s="1"/>
  <c r="E23" i="6"/>
  <c r="E22" i="6" s="1"/>
  <c r="D21" i="6"/>
  <c r="E21" i="6" s="1"/>
  <c r="C23" i="6"/>
  <c r="C22" i="6" s="1"/>
  <c r="I74" i="1"/>
  <c r="C29" i="1"/>
  <c r="C28" i="1"/>
  <c r="C31" i="1"/>
  <c r="C23" i="1"/>
  <c r="G110" i="7"/>
  <c r="B76" i="7"/>
  <c r="B49" i="6"/>
  <c r="E23" i="9"/>
  <c r="E30" i="9"/>
  <c r="D30" i="9" s="1"/>
  <c r="E110" i="7"/>
  <c r="C110" i="7"/>
  <c r="I110" i="7"/>
  <c r="I32" i="6"/>
  <c r="I70" i="6" s="1"/>
  <c r="B60" i="6"/>
  <c r="C30" i="9"/>
  <c r="C73" i="9" s="1"/>
  <c r="E29" i="9"/>
  <c r="D29" i="9" s="1"/>
  <c r="C53" i="1" l="1"/>
  <c r="B53" i="1" s="1"/>
  <c r="C52" i="1"/>
  <c r="B52" i="1" s="1"/>
  <c r="C108" i="7"/>
  <c r="C74" i="1"/>
  <c r="B65" i="6"/>
  <c r="C28" i="7"/>
  <c r="B24" i="9"/>
  <c r="B22" i="9"/>
  <c r="B43" i="7"/>
  <c r="I112" i="7"/>
  <c r="C26" i="7"/>
  <c r="G112" i="7"/>
  <c r="C44" i="7"/>
  <c r="C112" i="7" s="1"/>
  <c r="H22" i="9"/>
  <c r="F24" i="9"/>
  <c r="F22" i="9"/>
  <c r="I22" i="6"/>
  <c r="H31" i="6"/>
  <c r="G70" i="6"/>
  <c r="G69" i="6"/>
  <c r="E72" i="9"/>
  <c r="I67" i="6"/>
  <c r="E32" i="6"/>
  <c r="B77" i="7"/>
  <c r="F31" i="9"/>
  <c r="F31" i="6"/>
  <c r="D22" i="9"/>
  <c r="H30" i="6"/>
  <c r="D31" i="6"/>
  <c r="I23" i="9"/>
  <c r="D29" i="6"/>
  <c r="G68" i="6"/>
  <c r="G67" i="6"/>
  <c r="C67" i="6"/>
  <c r="B31" i="6"/>
  <c r="E24" i="9"/>
  <c r="G73" i="1"/>
  <c r="C22" i="9"/>
  <c r="E22" i="9"/>
  <c r="I22" i="9"/>
  <c r="C64" i="7"/>
  <c r="E108" i="7"/>
  <c r="C66" i="7"/>
  <c r="C34" i="1"/>
  <c r="C76" i="1" s="1"/>
  <c r="B31" i="1"/>
  <c r="B33" i="1"/>
  <c r="C29" i="9"/>
  <c r="D49" i="6"/>
  <c r="E67" i="6"/>
  <c r="D30" i="6"/>
  <c r="E68" i="6"/>
  <c r="G75" i="9"/>
  <c r="E73" i="9"/>
  <c r="B30" i="9"/>
  <c r="B65" i="1"/>
  <c r="G76" i="9"/>
  <c r="C24" i="9"/>
  <c r="G24" i="9"/>
  <c r="I73" i="9"/>
  <c r="H30" i="9"/>
  <c r="H31" i="9"/>
  <c r="I32" i="9"/>
  <c r="G73" i="9"/>
  <c r="E75" i="9"/>
  <c r="G22" i="9"/>
  <c r="H29" i="9"/>
  <c r="C76" i="9"/>
  <c r="B31" i="9"/>
  <c r="F30" i="9"/>
  <c r="F29" i="9"/>
  <c r="C75" i="9"/>
  <c r="E32" i="9"/>
  <c r="C73" i="1" l="1"/>
  <c r="I108" i="7"/>
  <c r="G108" i="7"/>
  <c r="F29" i="6"/>
  <c r="I73" i="1"/>
  <c r="E70" i="6"/>
  <c r="B30" i="6"/>
  <c r="H29" i="6"/>
  <c r="C109" i="7"/>
  <c r="I24" i="9"/>
  <c r="C68" i="6"/>
  <c r="E73" i="1"/>
  <c r="C70" i="6"/>
  <c r="I76" i="1"/>
  <c r="E112" i="7"/>
  <c r="G74" i="1"/>
  <c r="G76" i="1"/>
  <c r="E76" i="1"/>
  <c r="E74" i="1"/>
  <c r="B32" i="1"/>
  <c r="B29" i="9"/>
  <c r="C72" i="9"/>
  <c r="I76" i="9"/>
  <c r="E76" i="9"/>
  <c r="E109" i="7" l="1"/>
  <c r="G109" i="7"/>
  <c r="I109" i="7"/>
</calcChain>
</file>

<file path=xl/sharedStrings.xml><?xml version="1.0" encoding="utf-8"?>
<sst xmlns="http://schemas.openxmlformats.org/spreadsheetml/2006/main" count="1370" uniqueCount="385">
  <si>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№1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</si>
  <si>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№2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</si>
  <si>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№3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</si>
  <si>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№4</t>
    </r>
  </si>
  <si>
    <t>Декоративная накладка</t>
  </si>
  <si>
    <t>Крепежная планка</t>
  </si>
  <si>
    <t>Размер</t>
  </si>
  <si>
    <t>Кол-во</t>
  </si>
  <si>
    <t xml:space="preserve">Декоративная накладка угловая </t>
  </si>
  <si>
    <t xml:space="preserve">Шаблон (для монтажа) 2шт/1заказ </t>
  </si>
  <si>
    <t>-</t>
  </si>
  <si>
    <t xml:space="preserve">Стойки </t>
  </si>
  <si>
    <t>Саморезы</t>
  </si>
  <si>
    <t>Саморезы ПШ</t>
  </si>
  <si>
    <t>4,2x16</t>
  </si>
  <si>
    <t>Калитки</t>
  </si>
  <si>
    <t>Калитка 1,68х1</t>
  </si>
  <si>
    <t>Калитка 2,0х1</t>
  </si>
  <si>
    <t>Ворота</t>
  </si>
  <si>
    <t>Распашные 1,68х3,6</t>
  </si>
  <si>
    <t>Распашные 2,0х3,6</t>
  </si>
  <si>
    <t>Откатные 1,68х3,5</t>
  </si>
  <si>
    <t>Откатные 1,68х4,0</t>
  </si>
  <si>
    <t>Откатные 1,68х4,5</t>
  </si>
  <si>
    <t>Откатные 2,0х3,5</t>
  </si>
  <si>
    <t>Откатные 2,0х4,0</t>
  </si>
  <si>
    <t>Откатные 2,0х4,5</t>
  </si>
  <si>
    <t>Откатные на кирпич столб 1,68х3,5</t>
  </si>
  <si>
    <t>Откатные на кирпич столб 1,68х4,0</t>
  </si>
  <si>
    <t>Откатные на кирпич столб 1,68х4,5</t>
  </si>
  <si>
    <t>Сторона забора</t>
  </si>
  <si>
    <t>Откатные на кирпич столб 2,0х3,5</t>
  </si>
  <si>
    <t>№1</t>
  </si>
  <si>
    <t>№2</t>
  </si>
  <si>
    <t>№3</t>
  </si>
  <si>
    <t>№4</t>
  </si>
  <si>
    <t>Откатные на кирпич столб 2,0х4,0</t>
  </si>
  <si>
    <t>Откатные на кирпич столб 2,0х4,5</t>
  </si>
  <si>
    <t>Заполнение калиток</t>
  </si>
  <si>
    <t>Кол-во секций, шт</t>
  </si>
  <si>
    <r>
      <t>Количество углов 90</t>
    </r>
    <r>
      <rPr>
        <vertAlign val="superscript"/>
        <sz val="10"/>
        <rFont val="Arial"/>
        <family val="2"/>
        <charset val="204"/>
      </rPr>
      <t>о</t>
    </r>
  </si>
  <si>
    <r>
      <t>Количеств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</si>
  <si>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 xml:space="preserve">Крышки 65х60 </t>
  </si>
  <si>
    <t>Кирпичные столбы</t>
  </si>
  <si>
    <t>нет</t>
  </si>
  <si>
    <t>Нащельник 1,68</t>
  </si>
  <si>
    <t>Ворота Жалюзи</t>
  </si>
  <si>
    <t>Нащельник 2,0</t>
  </si>
  <si>
    <t>Заполнение ворот</t>
  </si>
  <si>
    <t>Если геометрия забора подразумевает наличие углов, отличных от 90 градусов, для каждого такого угла - необходим дополнительный столб (калькулятор считает, добавлять вручную не нужно)</t>
  </si>
  <si>
    <t>Максимально возможная длина крышки 60х40 – 3 м. Для ламелей длиной более 2,87 метров – используется крышка длиной 3м и будут необходимы заглушки для столба.</t>
  </si>
  <si>
    <t>Дюбель-U 10х61 (полипропилен)</t>
  </si>
  <si>
    <t>Комплект ворот и калиток:
Ворота: 2 створки, 2 столба, регулируемые петли (угол открывания 180°), замок Locinox, ответная планка, 2 ригеля Locinox.
Калитка: 1 створка, 2 столба, регулируемые петли (угол открывания 180°), ответная планка, замок Locinox.
В комплект ворот заполнение не входит. 
Комплект откатных ворот 
1. Рама ворот составная без заполнения для удобства транспортировки.
2. 2 опорных столба П-образных 60*60.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В комплект ворот заполнение не входит (приобретается отдельно) 
Комплект откатных ворот на готовые столбы 
1. Рама ворот составная без заполнения для удобства транспортировки.
2. Кронштейн крепления нижнего и верхнего ловителей - 2шт, Кронштейн крепления поддерживающих роликов - 1 шт.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Отдельно приобретать кронштейны для кирпичных столбов не нужно (входит в п.2 комплекта)
В комплект ворот заполнение не входит (приобретается отдельно)</t>
  </si>
  <si>
    <t>Возможная высота</t>
  </si>
  <si>
    <t>Калитки Жалюзи</t>
  </si>
  <si>
    <t xml:space="preserve">Ламели размер </t>
  </si>
  <si>
    <t>Стойки размер</t>
  </si>
  <si>
    <t>Крышки 65х60 размер</t>
  </si>
  <si>
    <t>Ламель лицевая 125</t>
  </si>
  <si>
    <t>Ламель обратная 125</t>
  </si>
  <si>
    <t>Ламель лицевая 150</t>
  </si>
  <si>
    <t>Ламель обратная 150</t>
  </si>
  <si>
    <t>Крышка 30х15</t>
  </si>
  <si>
    <t>Крышка 30х20</t>
  </si>
  <si>
    <t>Стойка</t>
  </si>
  <si>
    <t>Зазор между планками</t>
  </si>
  <si>
    <t>Саморезы ПШС</t>
  </si>
  <si>
    <t>Вид забора (ширина ламелей)</t>
  </si>
  <si>
    <t>Величина свободного зазора между ламелями*</t>
  </si>
  <si>
    <t>Высота, м</t>
  </si>
  <si>
    <t>Кол-во ламелей 125</t>
  </si>
  <si>
    <t>Зазор  125</t>
  </si>
  <si>
    <t>Кол-во ламелей 150</t>
  </si>
  <si>
    <t>Зазор 150</t>
  </si>
  <si>
    <t>зазор меньше</t>
  </si>
  <si>
    <t>зазор  больше</t>
  </si>
  <si>
    <t>Стойка (для калиток и ворот)</t>
  </si>
  <si>
    <t>Калитка 1,5х1</t>
  </si>
  <si>
    <t>Калитка 1,8х1</t>
  </si>
  <si>
    <t>Tokyo</t>
  </si>
  <si>
    <t>кол-во</t>
  </si>
  <si>
    <t>Столб 62х55</t>
  </si>
  <si>
    <t>Ограждения жалюзи</t>
  </si>
  <si>
    <t>Ворота Texas</t>
  </si>
  <si>
    <t>Калитки Texas</t>
  </si>
  <si>
    <t>Нащельник 125 (L 1,5)</t>
  </si>
  <si>
    <t>Нащельник 125 (L 1,8)</t>
  </si>
  <si>
    <t>Нащельник 125 (L 2,0)</t>
  </si>
  <si>
    <t>Нащельник 150 (L 1,5)</t>
  </si>
  <si>
    <t>Нащельник 150 (L 1,8)</t>
  </si>
  <si>
    <t>Нащельник 150 (L 2,0)</t>
  </si>
  <si>
    <t>4,0х10</t>
  </si>
  <si>
    <t>ПШС</t>
  </si>
  <si>
    <t>Распашные 1,5х3,6</t>
  </si>
  <si>
    <t>Распашные 1,8х3,6</t>
  </si>
  <si>
    <t>Откатные 1,5х3,5</t>
  </si>
  <si>
    <t>Откатные 1,5х4,0</t>
  </si>
  <si>
    <t>Откатные 1,5х4,5</t>
  </si>
  <si>
    <t>Откатные 1,8х3,5</t>
  </si>
  <si>
    <t>Откатные 1,8х4,0</t>
  </si>
  <si>
    <t>Откатные 1,8х4,5</t>
  </si>
  <si>
    <t>Откатные на кирпич столб 1,5х3,5</t>
  </si>
  <si>
    <t>Откатные на кирпич столб 1,8х3,5</t>
  </si>
  <si>
    <t>Откатные на кирпич столб 1,5х4,0</t>
  </si>
  <si>
    <t>Откатные на кирпич столб 1,5х4,5</t>
  </si>
  <si>
    <t>Откатные на кирпич столб 1,8х4,0</t>
  </si>
  <si>
    <t>Откатные на кирпич столб 1,8х4,5</t>
  </si>
  <si>
    <t>Ламель 125</t>
  </si>
  <si>
    <t>Ламель 150</t>
  </si>
  <si>
    <t>Заклепки для ламели 125</t>
  </si>
  <si>
    <t>Заклепки для ламели 150</t>
  </si>
  <si>
    <t>Ламели  Milan</t>
  </si>
  <si>
    <t>Саморезы Milan</t>
  </si>
  <si>
    <t>Саморезы Tokyo</t>
  </si>
  <si>
    <t>Ламели Tokyo</t>
  </si>
  <si>
    <t xml:space="preserve">Планка завершающая 50*50 мм </t>
  </si>
  <si>
    <t>ламель 150</t>
  </si>
  <si>
    <t>Крепежная планка верхняя</t>
  </si>
  <si>
    <t>Крепежная планка нижняя</t>
  </si>
  <si>
    <t>Ограждения жалюзи Milan и Tokyo</t>
  </si>
  <si>
    <t>Ограждения жалюзи Texas</t>
  </si>
  <si>
    <t>Высота секции забора, м</t>
  </si>
  <si>
    <t>Milan</t>
  </si>
  <si>
    <t>выберите из списка</t>
  </si>
  <si>
    <t>впишите ширину</t>
  </si>
  <si>
    <t>впишите количество</t>
  </si>
  <si>
    <t>Данные для расчета элементов ограждений жалюзи Milan</t>
  </si>
  <si>
    <t>Спецификация ограждений жалюзи Milan</t>
  </si>
  <si>
    <t>Примечания к калькулятору</t>
  </si>
  <si>
    <t>Если линия забора имеет разрыв, то на стартовый/финишный столб вместо 2х декоративных накладкок нужно устанавливать 1 декоративную накладку и 1 декоративную накладку угловую.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</si>
  <si>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 xml:space="preserve">Размер в номенклатуре калиток и ворот не является фактическим размером изделия. При монтаже калиток и ворот необходимо строго соблюсти размеры, указные в инструкции по монтажу либо в чертеже.    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</si>
  <si>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Tokyo</t>
    </r>
  </si>
  <si>
    <t>Данные для расчета элементов ограждений жалюзи Tokyo</t>
  </si>
  <si>
    <t>Калитка жалюзи Milan</t>
  </si>
  <si>
    <t>Ворота жалюзи Milan</t>
  </si>
  <si>
    <t>Калитка жалюзи Tokyo</t>
  </si>
  <si>
    <t>Ворота жалюзи Tokyo</t>
  </si>
  <si>
    <t>Спецификация ограждений жалюзи Tokyo</t>
  </si>
  <si>
    <t>ЛамельTokyo</t>
  </si>
  <si>
    <t>Данные для расчета элементов ограждений жалюзи Texas</t>
  </si>
  <si>
    <t>Спецификация ограждений жалюзи Texas</t>
  </si>
  <si>
    <t>размер</t>
  </si>
  <si>
    <t>ламель 125</t>
  </si>
  <si>
    <t>меньше (25-50мм в зависимости от высоты забора)</t>
  </si>
  <si>
    <t>больше (50-80мм в зависимости от высоты забора)</t>
  </si>
  <si>
    <t>Калитка жалюзи Texas</t>
  </si>
  <si>
    <t>Ворота жалюзи Texas</t>
  </si>
  <si>
    <t>Закплепки</t>
  </si>
  <si>
    <t>Рекомендуем следующие вытоты забора:
          - ламель 125, зазор между ламелями 25 мм, высота секции забора: 1,05 / 1,2 / 1,35 / 1,5 / 1,65 / 1,8 / 1,95 / 2,1 / 2,4 / 2,55 / 2,7 / 2,85 м
          - ламель 150, зазор между ламелями 25 мм, высота секции забора: 1,05 / 1,4 / 1,75 / 2,1 / 2,45 / 2,8 м
          - ламель 150, зазор между ламелями 50 мм, высота секции забора: 1,0 / 1,2 / 1,4 / 1,6 / 1,8 / 2,0 / 2,2 / 2,4 / 2,6 / 2,8 / 3,0 м</t>
  </si>
  <si>
    <t>Если линия забора имеет разрыв, то на стартовый/финишный столб вместо 2х декоративных накладкок нужно устанавливать 2 декоративных накладки угловые.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</si>
  <si>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>Заклепки</t>
  </si>
  <si>
    <t>Столбы</t>
  </si>
  <si>
    <t>столб 62х55</t>
  </si>
  <si>
    <t>столб 60х60</t>
  </si>
  <si>
    <t>столб 80х80</t>
  </si>
  <si>
    <t>Размер столба</t>
  </si>
  <si>
    <t>Столб</t>
  </si>
  <si>
    <t>Ограждения жалюзи Palermo</t>
  </si>
  <si>
    <t>Ламель Palermo</t>
  </si>
  <si>
    <t>Крышка 50х75</t>
  </si>
  <si>
    <t>Планка опорная составная внешняя</t>
  </si>
  <si>
    <t>Планка опорная составная внутренняя</t>
  </si>
  <si>
    <t>Планка вертикальная лицевая</t>
  </si>
  <si>
    <t>Планка вертикальная обратная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</si>
  <si>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Palermo</t>
    </r>
  </si>
  <si>
    <t>Данные для расчета элементов ограждений жалюзи Palermo</t>
  </si>
  <si>
    <t>Калитка жалюзи Palermo</t>
  </si>
  <si>
    <t>Ворота жалюзи Palermo</t>
  </si>
  <si>
    <t>Спецификация ограждений жалюзи  Palermo</t>
  </si>
  <si>
    <t>Кол-во ламелей</t>
  </si>
  <si>
    <t>высота минус 100мм</t>
  </si>
  <si>
    <t>Шуруп по бетону</t>
  </si>
  <si>
    <t>7,5х52</t>
  </si>
  <si>
    <t>5,5 х 19</t>
  </si>
  <si>
    <t>7,5 х 52</t>
  </si>
  <si>
    <t>4,2 х 16</t>
  </si>
  <si>
    <t>4,2 х 19</t>
  </si>
  <si>
    <r>
      <t>Количество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</si>
  <si>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>Стойка боковая крепежная</t>
  </si>
  <si>
    <t>Калитка 1,68х1,5</t>
  </si>
  <si>
    <t>Калитка 2,0х1,5</t>
  </si>
  <si>
    <t>Калитка 2,5х1</t>
  </si>
  <si>
    <t>Распашные 1,68х4,0</t>
  </si>
  <si>
    <t>Распашные 2,0х4,0</t>
  </si>
  <si>
    <t>Откатные 2,5х4,0</t>
  </si>
  <si>
    <t>Крышка 45х20</t>
  </si>
  <si>
    <t>Ламель лицевая 125 стартовая/финишная (для калиток и ворот)</t>
  </si>
  <si>
    <t>Ламель обратная 125 стартовая/финишная (для калиток и ворот)</t>
  </si>
  <si>
    <t>Ламели  Palermo</t>
  </si>
  <si>
    <t>Планка опорная внутренная</t>
  </si>
  <si>
    <t>Размер планки</t>
  </si>
  <si>
    <t>Планка опорная внешняя</t>
  </si>
  <si>
    <t>Планка опорная внутренняя</t>
  </si>
  <si>
    <t>Нащельник 2,5</t>
  </si>
  <si>
    <t>Использование крепежного вкладыша</t>
  </si>
  <si>
    <t>да</t>
  </si>
  <si>
    <t>Крепежный вкладыш (правый)</t>
  </si>
  <si>
    <t>Крепежный вкладыш (левый)</t>
  </si>
  <si>
    <t>Крепежный вкладыш (универсальный)</t>
  </si>
  <si>
    <t xml:space="preserve">Ламель лицевая 150 стартовая/финишная (для калиток и ворот) </t>
  </si>
  <si>
    <t>Ламель обратная 150 стартовая/финишная (для калиток и ворот)</t>
  </si>
  <si>
    <t>вид ламели</t>
  </si>
  <si>
    <t>Вариант монтажа с вкладышем</t>
  </si>
  <si>
    <t>высота секции</t>
  </si>
  <si>
    <t>зазор</t>
  </si>
  <si>
    <t>кол-во ламелей</t>
  </si>
  <si>
    <t>Крепеж</t>
  </si>
  <si>
    <t>Стандартные цвета ворот и калиток жалюзи: RAL 6005, 7024, 8017 (срок изготовления - стандартный).
Нестандартные цвета (по цене стандартных): RAL 3005, RR32 (срок изготовления - уточняйте у менеджера).</t>
  </si>
  <si>
    <t>Рекомендуем столбы 62х55х1,4. При высоте ограждения более 2м требуется расчет ветровой нагрузки на столб. Столб сечением 62х55 не рекомендуется!</t>
  </si>
  <si>
    <t>При ширине секции ограждения более 2,5 м требуется расчет ветровой нагрузки на столб. Столб сечением 62х55 не рекомендуется!</t>
  </si>
  <si>
    <t>Ламели  Milan №2</t>
  </si>
  <si>
    <t>Ламели Tokyo №2</t>
  </si>
  <si>
    <t>Ламели размер  №2</t>
  </si>
  <si>
    <t>Крышки 65х60  №2</t>
  </si>
  <si>
    <t>Крышки 65х60 размер №2</t>
  </si>
  <si>
    <t>Ламели  Milan №1</t>
  </si>
  <si>
    <t>Ламели Tokyo №1</t>
  </si>
  <si>
    <t>Ламели размер  №1</t>
  </si>
  <si>
    <t>Крышки 65х60  №1</t>
  </si>
  <si>
    <t>Крышки 65х60 размер №1</t>
  </si>
  <si>
    <t>Откатные 2,0х5,0</t>
  </si>
  <si>
    <t>Откатные 2,0х5,5</t>
  </si>
  <si>
    <t>Откатные 2,0х6,0</t>
  </si>
  <si>
    <t>Рекомендуем столбы 62х55х1,4.При высоте ограждения более 2м требуется расчет ветровой нагрузки на столб. Столб сечением 62х55 не рекомендуется!</t>
  </si>
  <si>
    <t>Ламели  Palermo стартовая/финишная</t>
  </si>
  <si>
    <t>Ламель Palermo стартовая/финишная</t>
  </si>
  <si>
    <t>Ламели  Palermo №1</t>
  </si>
  <si>
    <t>Ламели  Palermo №2</t>
  </si>
  <si>
    <t>Ламели размер №1</t>
  </si>
  <si>
    <t>Ламели размер №2</t>
  </si>
  <si>
    <t>Ламели Palermo стартовая/финишная №1</t>
  </si>
  <si>
    <t>Ламели размер 
стартовая/финишная №1</t>
  </si>
  <si>
    <t>Ламели Palermo стартовая/финишная №2</t>
  </si>
  <si>
    <t>Ламели размер 
стартовая/финишная №2</t>
  </si>
  <si>
    <t>Планка опорная внутренная №1</t>
  </si>
  <si>
    <t>Размер планки №1</t>
  </si>
  <si>
    <t>Планка опорная внешняя №1</t>
  </si>
  <si>
    <t>Планка опорная внутренная №2</t>
  </si>
  <si>
    <t>Размер планки №2</t>
  </si>
  <si>
    <t>Планка опорная внешняя №2</t>
  </si>
  <si>
    <t>Ламель 125 стартовая/финишная</t>
  </si>
  <si>
    <t>Ламель 150 стартовая/финишная</t>
  </si>
  <si>
    <t>Стойка 125 стартовая/финишная</t>
  </si>
  <si>
    <t>Стойка 150 стартовая/финишная</t>
  </si>
  <si>
    <t xml:space="preserve">Ламели размер 
стартовая/финишная </t>
  </si>
  <si>
    <t>Крышка 30х15 №1</t>
  </si>
  <si>
    <t>Крышка 30х20 №1</t>
  </si>
  <si>
    <t>Крышка 30х15 №2</t>
  </si>
  <si>
    <t>Ламель 125 №1</t>
  </si>
  <si>
    <t>Ламель 125 стартовая/финишная  №1</t>
  </si>
  <si>
    <t>Крышка 30х20 №2</t>
  </si>
  <si>
    <t>Ламель 125 №2</t>
  </si>
  <si>
    <t>Ламель 125 стартовая/финишная  №2</t>
  </si>
  <si>
    <t>Ламель 150 №1</t>
  </si>
  <si>
    <t>Ламель 150 стартовая/финишная №1</t>
  </si>
  <si>
    <t>Ламель 150 №2</t>
  </si>
  <si>
    <t>Ламель 150 стартовая/финишная №2</t>
  </si>
  <si>
    <t>Откатные на кирпич столб 2,0х5,0</t>
  </si>
  <si>
    <t>Откатные на кирпич столб 2,0х5,5</t>
  </si>
  <si>
    <t>Откатные на кирпич столб 2,0х6,0</t>
  </si>
  <si>
    <t>Шуруп по бетону (379358, 330611)</t>
  </si>
  <si>
    <t>Дюбель-U 10х61 полипропилен (303573)</t>
  </si>
  <si>
    <t>Ламель Milan</t>
  </si>
  <si>
    <t>Texas</t>
  </si>
  <si>
    <t>Справочная инфо</t>
  </si>
  <si>
    <t>Тип заполнения</t>
  </si>
  <si>
    <t>1 секция</t>
  </si>
  <si>
    <t>всего</t>
  </si>
  <si>
    <t>Общая длина забора, м</t>
  </si>
  <si>
    <t>односторонний</t>
  </si>
  <si>
    <t>Длина штакетника, мм</t>
  </si>
  <si>
    <t>двусторонний</t>
  </si>
  <si>
    <t>Количество штакетин в секции, шт</t>
  </si>
  <si>
    <t>шахматка сторона a</t>
  </si>
  <si>
    <t>Количество штакетин в заказе всего, шт</t>
  </si>
  <si>
    <t>Ширина секции, мм (от 500 до 3000 мм)</t>
  </si>
  <si>
    <t>Количество секций всего, шт</t>
  </si>
  <si>
    <t>Высота забора, мм (max 2000 мм)</t>
  </si>
  <si>
    <t>Тип штакетника (ширина)</t>
  </si>
  <si>
    <t>Круглый GL</t>
  </si>
  <si>
    <t>Крышка для забора</t>
  </si>
  <si>
    <t>Примерный промежуток м/у штакетинами, мм</t>
  </si>
  <si>
    <t xml:space="preserve">Декоративная накладка </t>
  </si>
  <si>
    <t>прямая</t>
  </si>
  <si>
    <t>угловая</t>
  </si>
  <si>
    <t>Количество углов у забора</t>
  </si>
  <si>
    <t xml:space="preserve">Планка вертикальная </t>
  </si>
  <si>
    <t>лицевая</t>
  </si>
  <si>
    <t>обратная</t>
  </si>
  <si>
    <t>Столбы, шт</t>
  </si>
  <si>
    <t>Рекомендуемые товары</t>
  </si>
  <si>
    <t xml:space="preserve">Магнитная насадка </t>
  </si>
  <si>
    <t>1 шт</t>
  </si>
  <si>
    <t>Корректор для ремонта царапин</t>
  </si>
  <si>
    <t>Прямоугольный GL</t>
  </si>
  <si>
    <t>Полукруглый Slim GL</t>
  </si>
  <si>
    <t>впишите величину</t>
  </si>
  <si>
    <t>Крышка</t>
  </si>
  <si>
    <t>Крышка для калиток и ворот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</si>
  <si>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Texas</t>
    </r>
  </si>
  <si>
    <t>Крепежный вкладыш (тип А)</t>
  </si>
  <si>
    <t>Крепежный вкладыш (тип B)</t>
  </si>
  <si>
    <t>Ламель лицевая 125 стартовая/финишная</t>
  </si>
  <si>
    <t>Ламель обратная 125 стартовая/финишная</t>
  </si>
  <si>
    <t>Ламель лицевая 150 стартовая/финишная</t>
  </si>
  <si>
    <t>Ламель обратная 150 стартовая/финишная</t>
  </si>
  <si>
    <t>Ламели Palermo</t>
  </si>
  <si>
    <t>Ламели Palermo стартовая/финишная</t>
  </si>
  <si>
    <t>Крепежный вкладыш</t>
  </si>
  <si>
    <t>Высота</t>
  </si>
  <si>
    <t xml:space="preserve">Расчет крепежного вкладыша в калькуляторе производится для забора высотой 2м, для иной высоты расчет производится самостоятельно с учетом наращивания или подрезки. </t>
  </si>
  <si>
    <t>Профиль Ламели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</si>
  <si>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Milan | Milan Slim</t>
    </r>
  </si>
  <si>
    <t>Зазор 50</t>
  </si>
  <si>
    <t>Зазор 25</t>
  </si>
  <si>
    <t>ламель125</t>
  </si>
  <si>
    <t>ламель150</t>
  </si>
  <si>
    <t>25мм</t>
  </si>
  <si>
    <t>50мм</t>
  </si>
  <si>
    <t>150_25</t>
  </si>
  <si>
    <t>150_50</t>
  </si>
  <si>
    <t>Ламель 200</t>
  </si>
  <si>
    <t>Ламель 50</t>
  </si>
  <si>
    <t>ламель50</t>
  </si>
  <si>
    <t>ламель200</t>
  </si>
  <si>
    <t>Кол-во ламелей 50</t>
  </si>
  <si>
    <t>Кол-во ламелей 200</t>
  </si>
  <si>
    <t>Ламель лицевая 50</t>
  </si>
  <si>
    <t>Ламель обратная 50</t>
  </si>
  <si>
    <t>Ламель лицевая 200</t>
  </si>
  <si>
    <t>Ламель обратная 200</t>
  </si>
  <si>
    <t>125_25</t>
  </si>
  <si>
    <r>
      <rPr>
        <sz val="10"/>
        <color rgb="FFC00000"/>
        <rFont val="Arial"/>
        <family val="2"/>
        <charset val="204"/>
      </rPr>
      <t>1.</t>
    </r>
    <r>
      <rPr>
        <sz val="10"/>
        <rFont val="Arial"/>
        <family val="2"/>
        <charset val="204"/>
      </rPr>
      <t xml:space="preserve"> выберите из списка</t>
    </r>
  </si>
  <si>
    <r>
      <rPr>
        <sz val="10"/>
        <color rgb="FFC00000"/>
        <rFont val="Arial"/>
        <family val="2"/>
        <charset val="204"/>
      </rPr>
      <t>2.</t>
    </r>
    <r>
      <rPr>
        <sz val="10"/>
        <rFont val="Arial"/>
        <family val="2"/>
        <charset val="204"/>
      </rPr>
      <t xml:space="preserve"> выберите из списка</t>
    </r>
  </si>
  <si>
    <r>
      <rPr>
        <sz val="10"/>
        <color rgb="FFC00000"/>
        <rFont val="Arial"/>
        <family val="2"/>
        <charset val="204"/>
      </rPr>
      <t>3.</t>
    </r>
    <r>
      <rPr>
        <sz val="10"/>
        <rFont val="Arial"/>
        <family val="2"/>
        <charset val="204"/>
      </rPr>
      <t xml:space="preserve"> выберите из списка каждый раз после смены ламели и разора</t>
    </r>
  </si>
  <si>
    <t>Ширина между столбов, м (от 0,51 до 2,5 м, с шагом 1 см), м</t>
  </si>
  <si>
    <t>ширина</t>
  </si>
  <si>
    <t>высота</t>
  </si>
  <si>
    <t>Входные группы</t>
  </si>
  <si>
    <t>Данные по ограждению</t>
  </si>
  <si>
    <t>Выбрать калитку</t>
  </si>
  <si>
    <t>1 калитка</t>
  </si>
  <si>
    <t>Данные по Калиткам</t>
  </si>
  <si>
    <t>Количество штакетин в Калитке, шт</t>
  </si>
  <si>
    <t>кол-во секций в створке</t>
  </si>
  <si>
    <t>Ворота откатные 1,68м х 3,5м</t>
  </si>
  <si>
    <t>Ворота откатные 1,68м х 4м</t>
  </si>
  <si>
    <t>Ворота откатные 1,68м х 4,5м</t>
  </si>
  <si>
    <t>Ворота откатные 2м х 3,5м</t>
  </si>
  <si>
    <t>Ворота откатные 2м х 4м</t>
  </si>
  <si>
    <t>Ворота откатные 2м х  4,5м</t>
  </si>
  <si>
    <t>Ворота откатные 2м х 5м</t>
  </si>
  <si>
    <t>Ворота откатные 2м х 5,5м</t>
  </si>
  <si>
    <t>Ворота откатные 2м х 6м</t>
  </si>
  <si>
    <t>ширина №1</t>
  </si>
  <si>
    <t>ширина №2</t>
  </si>
  <si>
    <t>ширина №3</t>
  </si>
  <si>
    <t>Количество штакетин в одних Воротах, шт</t>
  </si>
  <si>
    <r>
      <t xml:space="preserve">шахматка сторона </t>
    </r>
    <r>
      <rPr>
        <i/>
        <sz val="10"/>
        <rFont val="Open Sans"/>
        <family val="2"/>
        <charset val="204"/>
      </rPr>
      <t>b</t>
    </r>
  </si>
  <si>
    <t>Справочная инфо  Ворота</t>
  </si>
  <si>
    <t>1 створка</t>
  </si>
  <si>
    <t>2 створка</t>
  </si>
  <si>
    <t>3 створка</t>
  </si>
  <si>
    <t>Длина штакетника для створки №1, мм</t>
  </si>
  <si>
    <t>Длина штакетника для створки №2, мм</t>
  </si>
  <si>
    <t>Длина штакетника для створки №3, мм</t>
  </si>
  <si>
    <t>Выбрать ворота</t>
  </si>
  <si>
    <t>Ворота распашные 1,68м х 3,6м</t>
  </si>
  <si>
    <t>Ворота распашные 1,68м х 4м</t>
  </si>
  <si>
    <t>Ворота распашные 2м х 4м</t>
  </si>
  <si>
    <t>Ворота распашные 2м х 3,6м</t>
  </si>
  <si>
    <t>Саморезы 4,2 *16 для штакетника</t>
  </si>
  <si>
    <t>Саморезы 5,5 *19 для вертикальной планки</t>
  </si>
  <si>
    <t>Итого</t>
  </si>
  <si>
    <t>шахматка</t>
  </si>
  <si>
    <t>Ворота откатные 2,5м х 3,5м</t>
  </si>
  <si>
    <t>Ворота откатные 2,5м х 4м</t>
  </si>
  <si>
    <t>Калитка 1,68м х 1,0м</t>
  </si>
  <si>
    <t>Калитка 1,68м х 1,5м</t>
  </si>
  <si>
    <t>Калитка 2,0м х 1,0м</t>
  </si>
  <si>
    <t>Калитка 2,0м х 1,5м</t>
  </si>
  <si>
    <t>Калитка 2,5м х 1,0м</t>
  </si>
  <si>
    <t>Планки</t>
  </si>
  <si>
    <t>Калькулятор считает каждую заполненную сторону, как отдельно стоящие секции забора. Перепроверьте кол-во рассчитанных столбов и декоративных накладок к ним.</t>
  </si>
  <si>
    <t>Данные по воротам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</si>
</sst>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"/>
  </numFmts>
  <fonts count="41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6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22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C0C0C0"/>
      <name val="Arial"/>
      <family val="2"/>
      <charset val="204"/>
    </font>
    <font>
      <b/>
      <sz val="10"/>
      <color rgb="FFC0C0C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u/>
      <sz val="10"/>
      <color indexed="12"/>
      <name val="Open Sans"/>
      <family val="2"/>
      <charset val="204"/>
    </font>
    <font>
      <sz val="10"/>
      <color theme="1"/>
      <name val="Open Sans"/>
      <family val="2"/>
      <charset val="204"/>
    </font>
    <font>
      <b/>
      <sz val="10"/>
      <color theme="1"/>
      <name val="Open Sans"/>
      <family val="2"/>
      <charset val="204"/>
    </font>
    <font>
      <sz val="10"/>
      <name val="Open Sans"/>
      <family val="2"/>
      <charset val="204"/>
    </font>
    <font>
      <b/>
      <sz val="10"/>
      <name val="Open Sans"/>
      <family val="2"/>
      <charset val="204"/>
    </font>
    <font>
      <sz val="10"/>
      <color theme="0"/>
      <name val="Open Sans"/>
      <family val="2"/>
      <charset val="204"/>
    </font>
    <font>
      <sz val="10"/>
      <color rgb="FFFF0000"/>
      <name val="Open Sans"/>
      <family val="2"/>
      <charset val="204"/>
    </font>
    <font>
      <i/>
      <sz val="10"/>
      <name val="Open Sans"/>
      <family val="2"/>
      <charset val="204"/>
    </font>
    <font>
      <sz val="8"/>
      <color theme="1"/>
      <name val="Open Sans"/>
      <family val="2"/>
      <charset val="204"/>
    </font>
    <font>
      <sz val="14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260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164" fontId="10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13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3" fontId="3" fillId="0" borderId="0" xfId="0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65" fontId="25" fillId="0" borderId="1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2" fillId="0" borderId="0" xfId="1" applyFont="1" applyFill="1" applyAlignment="1"/>
    <xf numFmtId="0" fontId="27" fillId="0" borderId="0" xfId="0" applyFont="1"/>
    <xf numFmtId="0" fontId="5" fillId="0" borderId="8" xfId="0" applyFont="1" applyBorder="1" applyAlignment="1">
      <alignment horizontal="centerContinuous" vertical="center"/>
    </xf>
    <xf numFmtId="0" fontId="7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3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5" fillId="0" borderId="13" xfId="0" applyFont="1" applyBorder="1"/>
    <xf numFmtId="0" fontId="25" fillId="0" borderId="13" xfId="0" applyFont="1" applyBorder="1" applyAlignment="1">
      <alignment horizontal="center"/>
    </xf>
    <xf numFmtId="2" fontId="25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horizontal="center"/>
    </xf>
    <xf numFmtId="14" fontId="2" fillId="0" borderId="0" xfId="1" applyNumberFormat="1" applyFont="1" applyFill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7" fillId="2" borderId="3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0" fillId="0" borderId="18" xfId="0" applyBorder="1"/>
    <xf numFmtId="14" fontId="31" fillId="0" borderId="0" xfId="1" applyNumberFormat="1" applyFont="1" applyFill="1" applyAlignment="1"/>
    <xf numFmtId="0" fontId="32" fillId="0" borderId="0" xfId="0" applyFont="1"/>
    <xf numFmtId="0" fontId="34" fillId="0" borderId="0" xfId="0" applyFont="1"/>
    <xf numFmtId="0" fontId="35" fillId="4" borderId="21" xfId="0" applyFont="1" applyFill="1" applyBorder="1" applyAlignment="1">
      <alignment horizontal="centerContinuous"/>
    </xf>
    <xf numFmtId="0" fontId="35" fillId="4" borderId="22" xfId="0" applyFont="1" applyFill="1" applyBorder="1" applyAlignment="1">
      <alignment horizontal="centerContinuous"/>
    </xf>
    <xf numFmtId="0" fontId="35" fillId="4" borderId="23" xfId="0" applyFont="1" applyFill="1" applyBorder="1" applyAlignment="1">
      <alignment horizontal="centerContinuous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Continuous"/>
    </xf>
    <xf numFmtId="14" fontId="32" fillId="0" borderId="0" xfId="0" applyNumberFormat="1" applyFont="1" applyProtection="1">
      <protection locked="0"/>
    </xf>
    <xf numFmtId="0" fontId="32" fillId="0" borderId="13" xfId="0" applyFont="1" applyBorder="1" applyAlignment="1">
      <alignment horizontal="center" vertical="center"/>
    </xf>
    <xf numFmtId="0" fontId="34" fillId="0" borderId="24" xfId="0" applyFont="1" applyBorder="1"/>
    <xf numFmtId="0" fontId="34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49" fontId="32" fillId="0" borderId="0" xfId="0" applyNumberFormat="1" applyFont="1" applyProtection="1">
      <protection locked="0"/>
    </xf>
    <xf numFmtId="165" fontId="32" fillId="0" borderId="13" xfId="0" applyNumberFormat="1" applyFont="1" applyBorder="1" applyAlignment="1">
      <alignment horizontal="left" vertical="center" indent="2"/>
    </xf>
    <xf numFmtId="0" fontId="34" fillId="0" borderId="0" xfId="0" applyFont="1" applyAlignment="1">
      <alignment horizontal="center"/>
    </xf>
    <xf numFmtId="1" fontId="34" fillId="0" borderId="0" xfId="0" applyNumberFormat="1" applyFont="1" applyAlignment="1">
      <alignment horizontal="center"/>
    </xf>
    <xf numFmtId="3" fontId="34" fillId="0" borderId="25" xfId="0" applyNumberFormat="1" applyFont="1" applyBorder="1"/>
    <xf numFmtId="0" fontId="36" fillId="0" borderId="0" xfId="0" applyFont="1"/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3" fontId="32" fillId="0" borderId="13" xfId="0" applyNumberFormat="1" applyFont="1" applyBorder="1" applyAlignment="1">
      <alignment horizontal="left" vertical="center" indent="2"/>
    </xf>
    <xf numFmtId="0" fontId="34" fillId="0" borderId="26" xfId="0" applyFont="1" applyBorder="1"/>
    <xf numFmtId="0" fontId="34" fillId="0" borderId="27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4" fillId="0" borderId="13" xfId="0" applyFont="1" applyBorder="1" applyAlignment="1" applyProtection="1">
      <alignment horizontal="left" vertical="center" indent="1"/>
      <protection locked="0"/>
    </xf>
    <xf numFmtId="166" fontId="34" fillId="3" borderId="13" xfId="0" applyNumberFormat="1" applyFont="1" applyFill="1" applyBorder="1" applyAlignment="1" applyProtection="1">
      <alignment horizontal="center" vertical="center"/>
      <protection locked="0"/>
    </xf>
    <xf numFmtId="3" fontId="34" fillId="0" borderId="0" xfId="0" applyNumberFormat="1" applyFont="1"/>
    <xf numFmtId="0" fontId="32" fillId="0" borderId="13" xfId="0" applyFont="1" applyBorder="1" applyAlignment="1" applyProtection="1">
      <alignment horizontal="left" vertical="center" indent="1"/>
      <protection locked="0"/>
    </xf>
    <xf numFmtId="3" fontId="34" fillId="3" borderId="13" xfId="0" applyNumberFormat="1" applyFont="1" applyFill="1" applyBorder="1" applyAlignment="1" applyProtection="1">
      <alignment horizontal="center" vertical="center"/>
      <protection locked="0"/>
    </xf>
    <xf numFmtId="1" fontId="32" fillId="0" borderId="13" xfId="0" applyNumberFormat="1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indent="2"/>
    </xf>
    <xf numFmtId="0" fontId="32" fillId="0" borderId="13" xfId="0" applyFont="1" applyBorder="1" applyAlignment="1">
      <alignment horizontal="left" vertical="center"/>
    </xf>
    <xf numFmtId="166" fontId="32" fillId="0" borderId="0" xfId="0" applyNumberFormat="1" applyFont="1"/>
    <xf numFmtId="0" fontId="32" fillId="3" borderId="13" xfId="0" applyFont="1" applyFill="1" applyBorder="1" applyAlignment="1" applyProtection="1">
      <alignment horizontal="center" vertical="center"/>
      <protection locked="0"/>
    </xf>
    <xf numFmtId="0" fontId="32" fillId="3" borderId="13" xfId="0" applyFont="1" applyFill="1" applyBorder="1" applyAlignment="1" applyProtection="1">
      <alignment horizontal="center"/>
      <protection locked="0"/>
    </xf>
    <xf numFmtId="0" fontId="32" fillId="0" borderId="13" xfId="0" applyFont="1" applyBorder="1" applyAlignment="1">
      <alignment vertical="center"/>
    </xf>
    <xf numFmtId="1" fontId="32" fillId="0" borderId="13" xfId="0" applyNumberFormat="1" applyFont="1" applyBorder="1" applyAlignment="1">
      <alignment horizontal="left" vertical="center" wrapText="1" indent="2"/>
    </xf>
    <xf numFmtId="1" fontId="32" fillId="0" borderId="13" xfId="0" applyNumberFormat="1" applyFont="1" applyBorder="1" applyAlignment="1">
      <alignment horizontal="left" vertical="center" indent="2"/>
    </xf>
    <xf numFmtId="0" fontId="34" fillId="3" borderId="13" xfId="0" applyFont="1" applyFill="1" applyBorder="1" applyAlignment="1">
      <alignment horizontal="left" indent="1"/>
    </xf>
    <xf numFmtId="0" fontId="34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9" fillId="0" borderId="0" xfId="0" applyFont="1"/>
    <xf numFmtId="0" fontId="34" fillId="7" borderId="0" xfId="0" applyFont="1" applyFill="1"/>
    <xf numFmtId="0" fontId="32" fillId="7" borderId="0" xfId="0" applyFont="1" applyFill="1"/>
    <xf numFmtId="0" fontId="1" fillId="0" borderId="0" xfId="1"/>
    <xf numFmtId="3" fontId="32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left" indent="2"/>
    </xf>
    <xf numFmtId="165" fontId="32" fillId="0" borderId="13" xfId="0" applyNumberFormat="1" applyFont="1" applyBorder="1" applyAlignment="1">
      <alignment horizontal="left" indent="2"/>
    </xf>
    <xf numFmtId="0" fontId="32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0" borderId="10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7" fillId="2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32" fillId="3" borderId="13" xfId="0" applyFont="1" applyFill="1" applyBorder="1" applyAlignment="1" applyProtection="1">
      <alignment horizontal="left" vertical="center" indent="1"/>
      <protection locked="0"/>
    </xf>
    <xf numFmtId="0" fontId="35" fillId="4" borderId="13" xfId="0" applyFont="1" applyFill="1" applyBorder="1" applyAlignment="1" applyProtection="1">
      <alignment horizontal="left" vertical="center" indent="1"/>
      <protection locked="0"/>
    </xf>
    <xf numFmtId="0" fontId="32" fillId="0" borderId="2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 xr:uid="{00000000-0005-0000-0000-000002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0C0C0"/>
      <color rgb="FF00FF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34035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7AE746-E28E-44B5-83EA-A5636AD64D15}"/>
            </a:ext>
          </a:extLst>
        </xdr:cNvPr>
        <xdr:cNvSpPr txBox="1"/>
      </xdr:nvSpPr>
      <xdr:spPr>
        <a:xfrm>
          <a:off x="0" y="0"/>
          <a:ext cx="434035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rgbClr val="FF0000"/>
              </a:solidFill>
            </a:rPr>
            <a:t>ВАЖНО!</a:t>
          </a:r>
        </a:p>
        <a:p>
          <a:r>
            <a:rPr lang="ru-RU" sz="1100"/>
            <a:t>Промежуто</a:t>
          </a:r>
          <a:r>
            <a:rPr lang="ru-RU" sz="1100" baseline="0"/>
            <a:t>к м/у штакетинами для </a:t>
          </a:r>
          <a:r>
            <a:rPr lang="ru-RU" sz="1100" b="1" baseline="0"/>
            <a:t>Шахматки</a:t>
          </a:r>
          <a:r>
            <a:rPr lang="ru-RU" sz="1100" baseline="0"/>
            <a:t> должен быть не более:</a:t>
          </a:r>
        </a:p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/>
            <a:t>- 115 мм 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Прямоугольный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- 100 мм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Полукруглый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Slim GL</a:t>
          </a:r>
          <a:r>
            <a:rPr lang="en-US"/>
            <a:t> - 80 </a:t>
          </a:r>
          <a:r>
            <a:rPr lang="ru-RU"/>
            <a:t>мм</a:t>
          </a:r>
          <a:endParaRPr lang="ru-RU" sz="1100"/>
        </a:p>
      </xdr:txBody>
    </xdr:sp>
    <xdr:clientData/>
  </xdr:oneCellAnchor>
  <xdr:twoCellAnchor editAs="absolute">
    <xdr:from>
      <xdr:col>2</xdr:col>
      <xdr:colOff>630171</xdr:colOff>
      <xdr:row>2</xdr:row>
      <xdr:rowOff>121920</xdr:rowOff>
    </xdr:from>
    <xdr:to>
      <xdr:col>8</xdr:col>
      <xdr:colOff>480061</xdr:colOff>
      <xdr:row>16</xdr:row>
      <xdr:rowOff>68580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EAAF38D1-6F25-4B5F-95F7-F82EA7AA5A19}"/>
            </a:ext>
          </a:extLst>
        </xdr:cNvPr>
        <xdr:cNvGrpSpPr/>
      </xdr:nvGrpSpPr>
      <xdr:grpSpPr>
        <a:xfrm>
          <a:off x="5072631" y="502920"/>
          <a:ext cx="4840990" cy="2613660"/>
          <a:chOff x="10576447" y="1279470"/>
          <a:chExt cx="5839951" cy="2681462"/>
        </a:xfrm>
      </xdr:grpSpPr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id="{FEC21BE0-F1E0-FA45-DFD2-806F3D960914}"/>
              </a:ext>
            </a:extLst>
          </xdr:cNvPr>
          <xdr:cNvGrpSpPr/>
        </xdr:nvGrpSpPr>
        <xdr:grpSpPr>
          <a:xfrm>
            <a:off x="10576447" y="1318260"/>
            <a:ext cx="1928302" cy="2642672"/>
            <a:chOff x="8886264" y="1980079"/>
            <a:chExt cx="1881349" cy="2722010"/>
          </a:xfrm>
        </xdr:grpSpPr>
        <xdr:grpSp>
          <xdr:nvGrpSpPr>
            <xdr:cNvPr id="75" name="Группа 74">
              <a:extLst>
                <a:ext uri="{FF2B5EF4-FFF2-40B4-BE49-F238E27FC236}">
                  <a16:creationId xmlns:a16="http://schemas.microsoft.com/office/drawing/2014/main" id="{32D27B2C-9397-828C-75F1-412757A58DF7}"/>
                </a:ext>
              </a:extLst>
            </xdr:cNvPr>
            <xdr:cNvGrpSpPr/>
          </xdr:nvGrpSpPr>
          <xdr:grpSpPr>
            <a:xfrm>
              <a:off x="9700292" y="1980079"/>
              <a:ext cx="953977" cy="2404267"/>
              <a:chOff x="9316706" y="1968012"/>
              <a:chExt cx="953977" cy="2407284"/>
            </a:xfrm>
          </xdr:grpSpPr>
          <xdr:grpSp>
            <xdr:nvGrpSpPr>
              <xdr:cNvPr id="77" name="Группа 76">
                <a:extLst>
                  <a:ext uri="{FF2B5EF4-FFF2-40B4-BE49-F238E27FC236}">
                    <a16:creationId xmlns:a16="http://schemas.microsoft.com/office/drawing/2014/main" id="{FD13DDA7-E86D-9220-5301-1BEEC976D5CA}"/>
                  </a:ext>
                </a:extLst>
              </xdr:cNvPr>
              <xdr:cNvGrpSpPr/>
            </xdr:nvGrpSpPr>
            <xdr:grpSpPr>
              <a:xfrm>
                <a:off x="9316706" y="1968012"/>
                <a:ext cx="255152" cy="2313109"/>
                <a:chOff x="9361714" y="4207329"/>
                <a:chExt cx="255152" cy="2314575"/>
              </a:xfrm>
            </xdr:grpSpPr>
            <xdr:sp macro="" textlink="">
              <xdr:nvSpPr>
                <xdr:cNvPr id="92" name="Прямоугольник 91">
                  <a:extLst>
                    <a:ext uri="{FF2B5EF4-FFF2-40B4-BE49-F238E27FC236}">
                      <a16:creationId xmlns:a16="http://schemas.microsoft.com/office/drawing/2014/main" id="{38BAD90C-8567-5F6F-BB3C-F3AF508A9ACD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3" name="Правая круглая скобка 92">
                  <a:extLst>
                    <a:ext uri="{FF2B5EF4-FFF2-40B4-BE49-F238E27FC236}">
                      <a16:creationId xmlns:a16="http://schemas.microsoft.com/office/drawing/2014/main" id="{E699E741-37BD-060C-A6C4-FBABBB185CAC}"/>
                    </a:ext>
                  </a:extLst>
                </xdr:cNvPr>
                <xdr:cNvSpPr/>
              </xdr:nvSpPr>
              <xdr:spPr>
                <a:xfrm rot="16200000">
                  <a:off x="9427030" y="4142013"/>
                  <a:ext cx="124520" cy="255152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4" name="Прямоугольник 93">
                  <a:extLst>
                    <a:ext uri="{FF2B5EF4-FFF2-40B4-BE49-F238E27FC236}">
                      <a16:creationId xmlns:a16="http://schemas.microsoft.com/office/drawing/2014/main" id="{E0E32012-C0C4-0AB7-AAAC-053974FD4BA0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5" name="Прямоугольник 94">
                  <a:extLst>
                    <a:ext uri="{FF2B5EF4-FFF2-40B4-BE49-F238E27FC236}">
                      <a16:creationId xmlns:a16="http://schemas.microsoft.com/office/drawing/2014/main" id="{0E73BD2F-84C4-2460-90DB-A1CE0C347843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6" name="Прямоугольник 95">
                  <a:extLst>
                    <a:ext uri="{FF2B5EF4-FFF2-40B4-BE49-F238E27FC236}">
                      <a16:creationId xmlns:a16="http://schemas.microsoft.com/office/drawing/2014/main" id="{EB23A063-A637-F956-6896-18696496EFCC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7" name="Прямоугольник 96">
                  <a:extLst>
                    <a:ext uri="{FF2B5EF4-FFF2-40B4-BE49-F238E27FC236}">
                      <a16:creationId xmlns:a16="http://schemas.microsoft.com/office/drawing/2014/main" id="{562A6FB3-00C1-86ED-4C5F-8BBC07433E7A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8" name="Прямоугольник 97">
                  <a:extLst>
                    <a:ext uri="{FF2B5EF4-FFF2-40B4-BE49-F238E27FC236}">
                      <a16:creationId xmlns:a16="http://schemas.microsoft.com/office/drawing/2014/main" id="{B85F03A9-43A7-953C-CC78-36062C7201BE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78" name="Группа 77">
                <a:extLst>
                  <a:ext uri="{FF2B5EF4-FFF2-40B4-BE49-F238E27FC236}">
                    <a16:creationId xmlns:a16="http://schemas.microsoft.com/office/drawing/2014/main" id="{21C75332-AC26-6FAB-F500-3D20D60B6CFF}"/>
                  </a:ext>
                </a:extLst>
              </xdr:cNvPr>
              <xdr:cNvGrpSpPr/>
            </xdr:nvGrpSpPr>
            <xdr:grpSpPr>
              <a:xfrm>
                <a:off x="9525022" y="2402411"/>
                <a:ext cx="745661" cy="1972885"/>
                <a:chOff x="9525022" y="2402411"/>
                <a:chExt cx="745661" cy="1972885"/>
              </a:xfrm>
            </xdr:grpSpPr>
            <xdr:grpSp>
              <xdr:nvGrpSpPr>
                <xdr:cNvPr id="79" name="Группа 78">
                  <a:extLst>
                    <a:ext uri="{FF2B5EF4-FFF2-40B4-BE49-F238E27FC236}">
                      <a16:creationId xmlns:a16="http://schemas.microsoft.com/office/drawing/2014/main" id="{A409B895-2D1B-889F-B883-B62413C89132}"/>
                    </a:ext>
                  </a:extLst>
                </xdr:cNvPr>
                <xdr:cNvGrpSpPr/>
              </xdr:nvGrpSpPr>
              <xdr:grpSpPr>
                <a:xfrm>
                  <a:off x="9525022" y="2402411"/>
                  <a:ext cx="291747" cy="1952840"/>
                  <a:chOff x="9525022" y="2402411"/>
                  <a:chExt cx="291747" cy="1952840"/>
                </a:xfrm>
              </xdr:grpSpPr>
              <xdr:cxnSp macro="">
                <xdr:nvCxnSpPr>
                  <xdr:cNvPr id="83" name="Прямая соединительная линия 82">
                    <a:extLst>
                      <a:ext uri="{FF2B5EF4-FFF2-40B4-BE49-F238E27FC236}">
                        <a16:creationId xmlns:a16="http://schemas.microsoft.com/office/drawing/2014/main" id="{5B4585FB-4DA2-8A3E-637C-B96F7A36E66F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" name="Прямая соединительная линия 83">
                    <a:extLst>
                      <a:ext uri="{FF2B5EF4-FFF2-40B4-BE49-F238E27FC236}">
                        <a16:creationId xmlns:a16="http://schemas.microsoft.com/office/drawing/2014/main" id="{A6B1D956-85E1-65DD-9897-954535C81511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5" name="Прямая соединительная линия 84">
                    <a:extLst>
                      <a:ext uri="{FF2B5EF4-FFF2-40B4-BE49-F238E27FC236}">
                        <a16:creationId xmlns:a16="http://schemas.microsoft.com/office/drawing/2014/main" id="{01E0EE4B-7BCB-ED74-DCE6-33EEEE6C51B9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6" name="Прямая соединительная линия 85">
                    <a:extLst>
                      <a:ext uri="{FF2B5EF4-FFF2-40B4-BE49-F238E27FC236}">
                        <a16:creationId xmlns:a16="http://schemas.microsoft.com/office/drawing/2014/main" id="{39FBB6B3-5919-8D7B-4A44-2BB06B7D797A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7" name="Прямая соединительная линия 86">
                    <a:extLst>
                      <a:ext uri="{FF2B5EF4-FFF2-40B4-BE49-F238E27FC236}">
                        <a16:creationId xmlns:a16="http://schemas.microsoft.com/office/drawing/2014/main" id="{6D77D2FD-9256-5C1E-A7B3-BBB876E8CA7C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" name="Прямая соединительная линия 87">
                    <a:extLst>
                      <a:ext uri="{FF2B5EF4-FFF2-40B4-BE49-F238E27FC236}">
                        <a16:creationId xmlns:a16="http://schemas.microsoft.com/office/drawing/2014/main" id="{15E65202-5316-4184-9367-DDB20198E117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9" name="Прямая соединительная линия 88">
                    <a:extLst>
                      <a:ext uri="{FF2B5EF4-FFF2-40B4-BE49-F238E27FC236}">
                        <a16:creationId xmlns:a16="http://schemas.microsoft.com/office/drawing/2014/main" id="{78892541-CFD6-A814-C3AD-FE6DD757CF50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0" name="Прямая соединительная линия 89">
                    <a:extLst>
                      <a:ext uri="{FF2B5EF4-FFF2-40B4-BE49-F238E27FC236}">
                        <a16:creationId xmlns:a16="http://schemas.microsoft.com/office/drawing/2014/main" id="{FA9C8E76-EB1E-70C2-F36B-029746C9B6C5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1" name="Прямая соединительная линия 90">
                    <a:extLst>
                      <a:ext uri="{FF2B5EF4-FFF2-40B4-BE49-F238E27FC236}">
                        <a16:creationId xmlns:a16="http://schemas.microsoft.com/office/drawing/2014/main" id="{6575A671-B5F7-2497-A6F3-7B3D93DBE5EC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80" name="TextBox 79">
                  <a:extLst>
                    <a:ext uri="{FF2B5EF4-FFF2-40B4-BE49-F238E27FC236}">
                      <a16:creationId xmlns:a16="http://schemas.microsoft.com/office/drawing/2014/main" id="{E364D391-6C0B-876F-4BAF-4F239064671B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327654" cy="26489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EJ$307">
              <xdr:nvSpPr>
                <xdr:cNvPr id="81" name="TextBox 80">
                  <a:extLst>
                    <a:ext uri="{FF2B5EF4-FFF2-40B4-BE49-F238E27FC236}">
                      <a16:creationId xmlns:a16="http://schemas.microsoft.com/office/drawing/2014/main" id="{70FB9B89-58DC-C441-4528-C63B3569ABDB}"/>
                    </a:ext>
                  </a:extLst>
                </xdr:cNvPr>
                <xdr:cNvSpPr txBox="1"/>
              </xdr:nvSpPr>
              <xdr:spPr>
                <a:xfrm>
                  <a:off x="9759462" y="3214341"/>
                  <a:ext cx="511221" cy="2799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7E61E6CA-3906-4D0D-B7C5-E73499C2923D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23,3</a:t>
                  </a:fld>
                  <a:endParaRPr lang="ru-RU" sz="1100"/>
                </a:p>
              </xdr:txBody>
            </xdr:sp>
            <xdr:sp macro="" textlink="EC382">
              <xdr:nvSpPr>
                <xdr:cNvPr id="82" name="TextBox 81">
                  <a:extLst>
                    <a:ext uri="{FF2B5EF4-FFF2-40B4-BE49-F238E27FC236}">
                      <a16:creationId xmlns:a16="http://schemas.microsoft.com/office/drawing/2014/main" id="{571E87AD-B13F-99B6-47C7-079A5AEC99D2}"/>
                    </a:ext>
                  </a:extLst>
                </xdr:cNvPr>
                <xdr:cNvSpPr txBox="1"/>
              </xdr:nvSpPr>
              <xdr:spPr>
                <a:xfrm>
                  <a:off x="9759462" y="2497196"/>
                  <a:ext cx="469789" cy="2799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2FD5088F-5B77-49CE-A65E-D40D369245FA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100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9E2DCEA1-8C20-E4A7-5A8C-BEC79999C370}"/>
                </a:ext>
              </a:extLst>
            </xdr:cNvPr>
            <xdr:cNvSpPr txBox="1"/>
          </xdr:nvSpPr>
          <xdr:spPr>
            <a:xfrm>
              <a:off x="8886264" y="4437529"/>
              <a:ext cx="188134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Одностороннее заполнение</a:t>
              </a:r>
            </a:p>
          </xdr:txBody>
        </xdr:sp>
      </xdr:grpSp>
      <xdr:grpSp>
        <xdr:nvGrpSpPr>
          <xdr:cNvPr id="5" name="Группа 4">
            <a:extLst>
              <a:ext uri="{FF2B5EF4-FFF2-40B4-BE49-F238E27FC236}">
                <a16:creationId xmlns:a16="http://schemas.microsoft.com/office/drawing/2014/main" id="{2CDB5F77-7B87-3607-B891-88521EBC705F}"/>
              </a:ext>
            </a:extLst>
          </xdr:cNvPr>
          <xdr:cNvGrpSpPr/>
        </xdr:nvGrpSpPr>
        <xdr:grpSpPr>
          <a:xfrm>
            <a:off x="12665112" y="1318260"/>
            <a:ext cx="1844683" cy="2642672"/>
            <a:chOff x="11418794" y="1980079"/>
            <a:chExt cx="1781706" cy="2722010"/>
          </a:xfrm>
        </xdr:grpSpPr>
        <xdr:grpSp>
          <xdr:nvGrpSpPr>
            <xdr:cNvPr id="46" name="Группа 45">
              <a:extLst>
                <a:ext uri="{FF2B5EF4-FFF2-40B4-BE49-F238E27FC236}">
                  <a16:creationId xmlns:a16="http://schemas.microsoft.com/office/drawing/2014/main" id="{457FA440-46BC-FCF3-B0C2-A103555EFFAB}"/>
                </a:ext>
              </a:extLst>
            </xdr:cNvPr>
            <xdr:cNvGrpSpPr/>
          </xdr:nvGrpSpPr>
          <xdr:grpSpPr>
            <a:xfrm>
              <a:off x="12177779" y="1980079"/>
              <a:ext cx="957175" cy="2404267"/>
              <a:chOff x="9302146" y="1968012"/>
              <a:chExt cx="970397" cy="2407284"/>
            </a:xfrm>
          </xdr:grpSpPr>
          <xdr:grpSp>
            <xdr:nvGrpSpPr>
              <xdr:cNvPr id="48" name="Группа 47">
                <a:extLst>
                  <a:ext uri="{FF2B5EF4-FFF2-40B4-BE49-F238E27FC236}">
                    <a16:creationId xmlns:a16="http://schemas.microsoft.com/office/drawing/2014/main" id="{BD537C19-4FE4-17A8-240A-8D5F9B796C0F}"/>
                  </a:ext>
                </a:extLst>
              </xdr:cNvPr>
              <xdr:cNvGrpSpPr/>
            </xdr:nvGrpSpPr>
            <xdr:grpSpPr>
              <a:xfrm>
                <a:off x="9302146" y="1968012"/>
                <a:ext cx="266295" cy="2313109"/>
                <a:chOff x="9347154" y="4207329"/>
                <a:chExt cx="266295" cy="2314575"/>
              </a:xfrm>
            </xdr:grpSpPr>
            <xdr:sp macro="" textlink="">
              <xdr:nvSpPr>
                <xdr:cNvPr id="63" name="Прямоугольник 62">
                  <a:extLst>
                    <a:ext uri="{FF2B5EF4-FFF2-40B4-BE49-F238E27FC236}">
                      <a16:creationId xmlns:a16="http://schemas.microsoft.com/office/drawing/2014/main" id="{E7EF2FE0-FA20-4FBB-DE93-58492373EFAC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4" name="Правая круглая скобка 63">
                  <a:extLst>
                    <a:ext uri="{FF2B5EF4-FFF2-40B4-BE49-F238E27FC236}">
                      <a16:creationId xmlns:a16="http://schemas.microsoft.com/office/drawing/2014/main" id="{DB0DBE70-57F9-6454-4409-C8EA3EF84C36}"/>
                    </a:ext>
                  </a:extLst>
                </xdr:cNvPr>
                <xdr:cNvSpPr/>
              </xdr:nvSpPr>
              <xdr:spPr>
                <a:xfrm rot="16200000">
                  <a:off x="9418042" y="4136441"/>
                  <a:ext cx="124520" cy="266295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5" name="Прямоугольник 64">
                  <a:extLst>
                    <a:ext uri="{FF2B5EF4-FFF2-40B4-BE49-F238E27FC236}">
                      <a16:creationId xmlns:a16="http://schemas.microsoft.com/office/drawing/2014/main" id="{F793FC5F-85CD-75D1-891B-BED608A70E2F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6" name="Прямоугольник 65">
                  <a:extLst>
                    <a:ext uri="{FF2B5EF4-FFF2-40B4-BE49-F238E27FC236}">
                      <a16:creationId xmlns:a16="http://schemas.microsoft.com/office/drawing/2014/main" id="{F8309AEC-802F-E7EB-22CF-65FBF94D676E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7" name="Прямоугольник 66">
                  <a:extLst>
                    <a:ext uri="{FF2B5EF4-FFF2-40B4-BE49-F238E27FC236}">
                      <a16:creationId xmlns:a16="http://schemas.microsoft.com/office/drawing/2014/main" id="{E5E9E813-74F1-A1DC-DB2E-146315584C54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8" name="Прямоугольник 67">
                  <a:extLst>
                    <a:ext uri="{FF2B5EF4-FFF2-40B4-BE49-F238E27FC236}">
                      <a16:creationId xmlns:a16="http://schemas.microsoft.com/office/drawing/2014/main" id="{74AE1DD1-AB68-247B-9037-BF8105B2A567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9" name="Прямоугольник 68">
                  <a:extLst>
                    <a:ext uri="{FF2B5EF4-FFF2-40B4-BE49-F238E27FC236}">
                      <a16:creationId xmlns:a16="http://schemas.microsoft.com/office/drawing/2014/main" id="{A34A2A6B-4478-B050-E43A-B311C87EA0FE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0" name="Прямоугольник 69">
                  <a:extLst>
                    <a:ext uri="{FF2B5EF4-FFF2-40B4-BE49-F238E27FC236}">
                      <a16:creationId xmlns:a16="http://schemas.microsoft.com/office/drawing/2014/main" id="{60BB2F5B-578D-5D08-797A-E5349903EC96}"/>
                    </a:ext>
                  </a:extLst>
                </xdr:cNvPr>
                <xdr:cNvSpPr/>
              </xdr:nvSpPr>
              <xdr:spPr>
                <a:xfrm>
                  <a:off x="9366015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1" name="Прямоугольник 70">
                  <a:extLst>
                    <a:ext uri="{FF2B5EF4-FFF2-40B4-BE49-F238E27FC236}">
                      <a16:creationId xmlns:a16="http://schemas.microsoft.com/office/drawing/2014/main" id="{EA9C9660-6BEA-1050-E053-94D529FF8BC5}"/>
                    </a:ext>
                  </a:extLst>
                </xdr:cNvPr>
                <xdr:cNvSpPr/>
              </xdr:nvSpPr>
              <xdr:spPr>
                <a:xfrm>
                  <a:off x="9366015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2" name="Прямоугольник 71">
                  <a:extLst>
                    <a:ext uri="{FF2B5EF4-FFF2-40B4-BE49-F238E27FC236}">
                      <a16:creationId xmlns:a16="http://schemas.microsoft.com/office/drawing/2014/main" id="{6F6F5F64-9DDD-D10E-A010-2AE54574962D}"/>
                    </a:ext>
                  </a:extLst>
                </xdr:cNvPr>
                <xdr:cNvSpPr/>
              </xdr:nvSpPr>
              <xdr:spPr>
                <a:xfrm>
                  <a:off x="9366015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3" name="Прямоугольник 72">
                  <a:extLst>
                    <a:ext uri="{FF2B5EF4-FFF2-40B4-BE49-F238E27FC236}">
                      <a16:creationId xmlns:a16="http://schemas.microsoft.com/office/drawing/2014/main" id="{D9948364-DF04-A791-6C01-3991E0B41841}"/>
                    </a:ext>
                  </a:extLst>
                </xdr:cNvPr>
                <xdr:cNvSpPr/>
              </xdr:nvSpPr>
              <xdr:spPr>
                <a:xfrm>
                  <a:off x="9366015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4" name="Прямоугольник 73">
                  <a:extLst>
                    <a:ext uri="{FF2B5EF4-FFF2-40B4-BE49-F238E27FC236}">
                      <a16:creationId xmlns:a16="http://schemas.microsoft.com/office/drawing/2014/main" id="{D1B3835B-D4CF-4E85-BD57-E93D8B4AF34B}"/>
                    </a:ext>
                  </a:extLst>
                </xdr:cNvPr>
                <xdr:cNvSpPr/>
              </xdr:nvSpPr>
              <xdr:spPr>
                <a:xfrm>
                  <a:off x="9366015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49" name="Группа 48">
                <a:extLst>
                  <a:ext uri="{FF2B5EF4-FFF2-40B4-BE49-F238E27FC236}">
                    <a16:creationId xmlns:a16="http://schemas.microsoft.com/office/drawing/2014/main" id="{9569DF66-FFD4-8809-8266-585978C97AE2}"/>
                  </a:ext>
                </a:extLst>
              </xdr:cNvPr>
              <xdr:cNvGrpSpPr/>
            </xdr:nvGrpSpPr>
            <xdr:grpSpPr>
              <a:xfrm>
                <a:off x="9525022" y="2402411"/>
                <a:ext cx="747521" cy="1972885"/>
                <a:chOff x="9525022" y="2402411"/>
                <a:chExt cx="747521" cy="1972885"/>
              </a:xfrm>
            </xdr:grpSpPr>
            <xdr:grpSp>
              <xdr:nvGrpSpPr>
                <xdr:cNvPr id="50" name="Группа 49">
                  <a:extLst>
                    <a:ext uri="{FF2B5EF4-FFF2-40B4-BE49-F238E27FC236}">
                      <a16:creationId xmlns:a16="http://schemas.microsoft.com/office/drawing/2014/main" id="{8301082B-041C-01B7-817D-83CF8755E0BB}"/>
                    </a:ext>
                  </a:extLst>
                </xdr:cNvPr>
                <xdr:cNvGrpSpPr/>
              </xdr:nvGrpSpPr>
              <xdr:grpSpPr>
                <a:xfrm>
                  <a:off x="9525022" y="2402411"/>
                  <a:ext cx="291747" cy="1952840"/>
                  <a:chOff x="9525022" y="2402411"/>
                  <a:chExt cx="291747" cy="1952840"/>
                </a:xfrm>
              </xdr:grpSpPr>
              <xdr:cxnSp macro="">
                <xdr:nvCxnSpPr>
                  <xdr:cNvPr id="54" name="Прямая соединительная линия 53">
                    <a:extLst>
                      <a:ext uri="{FF2B5EF4-FFF2-40B4-BE49-F238E27FC236}">
                        <a16:creationId xmlns:a16="http://schemas.microsoft.com/office/drawing/2014/main" id="{D882E5FC-FD4E-F1A0-D15E-E6F2B462B8F5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5" name="Прямая соединительная линия 54">
                    <a:extLst>
                      <a:ext uri="{FF2B5EF4-FFF2-40B4-BE49-F238E27FC236}">
                        <a16:creationId xmlns:a16="http://schemas.microsoft.com/office/drawing/2014/main" id="{58F2EA1F-35CF-596A-4319-2475037EF856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6" name="Прямая соединительная линия 55">
                    <a:extLst>
                      <a:ext uri="{FF2B5EF4-FFF2-40B4-BE49-F238E27FC236}">
                        <a16:creationId xmlns:a16="http://schemas.microsoft.com/office/drawing/2014/main" id="{54A65A3E-B1B0-B0EC-C08F-E7ECCF60CB3C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7" name="Прямая соединительная линия 56">
                    <a:extLst>
                      <a:ext uri="{FF2B5EF4-FFF2-40B4-BE49-F238E27FC236}">
                        <a16:creationId xmlns:a16="http://schemas.microsoft.com/office/drawing/2014/main" id="{CBC3B958-99FF-B509-53D6-D812AF82757D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8" name="Прямая соединительная линия 57">
                    <a:extLst>
                      <a:ext uri="{FF2B5EF4-FFF2-40B4-BE49-F238E27FC236}">
                        <a16:creationId xmlns:a16="http://schemas.microsoft.com/office/drawing/2014/main" id="{2D9B20C7-1652-2996-A177-B42CCB2C83FE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9" name="Прямая соединительная линия 58">
                    <a:extLst>
                      <a:ext uri="{FF2B5EF4-FFF2-40B4-BE49-F238E27FC236}">
                        <a16:creationId xmlns:a16="http://schemas.microsoft.com/office/drawing/2014/main" id="{33EDFA5C-C287-9411-1A5B-C749D1E459DD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" name="Прямая соединительная линия 59">
                    <a:extLst>
                      <a:ext uri="{FF2B5EF4-FFF2-40B4-BE49-F238E27FC236}">
                        <a16:creationId xmlns:a16="http://schemas.microsoft.com/office/drawing/2014/main" id="{AB898ED3-1B5D-9D0F-4B06-2FF7A224AD72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1" name="Прямая соединительная линия 60">
                    <a:extLst>
                      <a:ext uri="{FF2B5EF4-FFF2-40B4-BE49-F238E27FC236}">
                        <a16:creationId xmlns:a16="http://schemas.microsoft.com/office/drawing/2014/main" id="{0896B6CB-6127-9F66-0BEE-629BBE531102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2" name="Прямая соединительная линия 61">
                    <a:extLst>
                      <a:ext uri="{FF2B5EF4-FFF2-40B4-BE49-F238E27FC236}">
                        <a16:creationId xmlns:a16="http://schemas.microsoft.com/office/drawing/2014/main" id="{61B43ADF-F622-6B12-0DE2-3B57BD7E0355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51" name="TextBox 50">
                  <a:extLst>
                    <a:ext uri="{FF2B5EF4-FFF2-40B4-BE49-F238E27FC236}">
                      <a16:creationId xmlns:a16="http://schemas.microsoft.com/office/drawing/2014/main" id="{3B6D135D-DE50-E72E-F372-FDC9391FFA73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332180" cy="26489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EJ$308">
              <xdr:nvSpPr>
                <xdr:cNvPr id="52" name="TextBox 51">
                  <a:extLst>
                    <a:ext uri="{FF2B5EF4-FFF2-40B4-BE49-F238E27FC236}">
                      <a16:creationId xmlns:a16="http://schemas.microsoft.com/office/drawing/2014/main" id="{323EA9E1-4902-8990-0AB5-391973795509}"/>
                    </a:ext>
                  </a:extLst>
                </xdr:cNvPr>
                <xdr:cNvSpPr txBox="1"/>
              </xdr:nvSpPr>
              <xdr:spPr>
                <a:xfrm>
                  <a:off x="9759461" y="3214341"/>
                  <a:ext cx="513082" cy="2799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AD78EA7B-909F-47FA-9E5E-99FA34C4545A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23,3</a:t>
                  </a:fld>
                  <a:endParaRPr lang="ru-RU" sz="1100"/>
                </a:p>
              </xdr:txBody>
            </xdr:sp>
            <xdr:sp macro="" textlink="EC382">
              <xdr:nvSpPr>
                <xdr:cNvPr id="53" name="TextBox 52">
                  <a:extLst>
                    <a:ext uri="{FF2B5EF4-FFF2-40B4-BE49-F238E27FC236}">
                      <a16:creationId xmlns:a16="http://schemas.microsoft.com/office/drawing/2014/main" id="{CB6BB935-7445-679D-EF46-377585624E44}"/>
                    </a:ext>
                  </a:extLst>
                </xdr:cNvPr>
                <xdr:cNvSpPr txBox="1"/>
              </xdr:nvSpPr>
              <xdr:spPr>
                <a:xfrm>
                  <a:off x="9759461" y="2497196"/>
                  <a:ext cx="471499" cy="2799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E930BD6F-FB51-40CB-95EC-7E3DE3F414C2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100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CB667DC-723F-9D18-B4F7-7EE823B53566}"/>
                </a:ext>
              </a:extLst>
            </xdr:cNvPr>
            <xdr:cNvSpPr txBox="1"/>
          </xdr:nvSpPr>
          <xdr:spPr>
            <a:xfrm>
              <a:off x="11418794" y="4437529"/>
              <a:ext cx="178170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Двустороннее заполнение</a:t>
              </a:r>
            </a:p>
          </xdr:txBody>
        </xdr:sp>
      </xdr:grpSp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ED00FB0E-95AA-116C-466B-6E14B18DF132}"/>
              </a:ext>
            </a:extLst>
          </xdr:cNvPr>
          <xdr:cNvGrpSpPr/>
        </xdr:nvGrpSpPr>
        <xdr:grpSpPr>
          <a:xfrm>
            <a:off x="14668948" y="1279470"/>
            <a:ext cx="1747450" cy="2681462"/>
            <a:chOff x="14040970" y="1933669"/>
            <a:chExt cx="1520353" cy="2768420"/>
          </a:xfrm>
        </xdr:grpSpPr>
        <xdr:grpSp>
          <xdr:nvGrpSpPr>
            <xdr:cNvPr id="7" name="Группа 6">
              <a:extLst>
                <a:ext uri="{FF2B5EF4-FFF2-40B4-BE49-F238E27FC236}">
                  <a16:creationId xmlns:a16="http://schemas.microsoft.com/office/drawing/2014/main" id="{FD69CCFA-3F7C-98A3-E876-A9FF5F362FC8}"/>
                </a:ext>
              </a:extLst>
            </xdr:cNvPr>
            <xdr:cNvGrpSpPr/>
          </xdr:nvGrpSpPr>
          <xdr:grpSpPr>
            <a:xfrm>
              <a:off x="14064476" y="1933669"/>
              <a:ext cx="1495711" cy="2450236"/>
              <a:chOff x="14090203" y="1921602"/>
              <a:chExt cx="1502590" cy="2453252"/>
            </a:xfrm>
          </xdr:grpSpPr>
          <xdr:grpSp>
            <xdr:nvGrpSpPr>
              <xdr:cNvPr id="9" name="Группа 8">
                <a:extLst>
                  <a:ext uri="{FF2B5EF4-FFF2-40B4-BE49-F238E27FC236}">
                    <a16:creationId xmlns:a16="http://schemas.microsoft.com/office/drawing/2014/main" id="{AE9D59FE-73F9-974F-F393-C4E3E37C58D0}"/>
                  </a:ext>
                </a:extLst>
              </xdr:cNvPr>
              <xdr:cNvGrpSpPr/>
            </xdr:nvGrpSpPr>
            <xdr:grpSpPr>
              <a:xfrm>
                <a:off x="14090203" y="1921602"/>
                <a:ext cx="1502590" cy="2453252"/>
                <a:chOff x="8706277" y="1921669"/>
                <a:chExt cx="1514928" cy="2453185"/>
              </a:xfrm>
            </xdr:grpSpPr>
            <xdr:grpSp>
              <xdr:nvGrpSpPr>
                <xdr:cNvPr id="12" name="Группа 11">
                  <a:extLst>
                    <a:ext uri="{FF2B5EF4-FFF2-40B4-BE49-F238E27FC236}">
                      <a16:creationId xmlns:a16="http://schemas.microsoft.com/office/drawing/2014/main" id="{F76CFB19-9E2F-ECEB-2FD8-89864EE4DB60}"/>
                    </a:ext>
                  </a:extLst>
                </xdr:cNvPr>
                <xdr:cNvGrpSpPr/>
              </xdr:nvGrpSpPr>
              <xdr:grpSpPr>
                <a:xfrm>
                  <a:off x="9302146" y="1968012"/>
                  <a:ext cx="266295" cy="2313109"/>
                  <a:chOff x="9347154" y="4207329"/>
                  <a:chExt cx="266295" cy="2314575"/>
                </a:xfrm>
              </xdr:grpSpPr>
              <xdr:sp macro="" textlink="">
                <xdr:nvSpPr>
                  <xdr:cNvPr id="35" name="Прямоугольник 34">
                    <a:extLst>
                      <a:ext uri="{FF2B5EF4-FFF2-40B4-BE49-F238E27FC236}">
                        <a16:creationId xmlns:a16="http://schemas.microsoft.com/office/drawing/2014/main" id="{BEABDFB3-D4ED-1D3C-0E67-E9625739877F}"/>
                      </a:ext>
                    </a:extLst>
                  </xdr:cNvPr>
                  <xdr:cNvSpPr/>
                </xdr:nvSpPr>
                <xdr:spPr>
                  <a:xfrm>
                    <a:off x="9424477" y="4254954"/>
                    <a:ext cx="105966" cy="2266950"/>
                  </a:xfrm>
                  <a:prstGeom prst="rect">
                    <a:avLst/>
                  </a:prstGeom>
                  <a:noFill/>
                  <a:ln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6" name="Правая круглая скобка 35">
                    <a:extLst>
                      <a:ext uri="{FF2B5EF4-FFF2-40B4-BE49-F238E27FC236}">
                        <a16:creationId xmlns:a16="http://schemas.microsoft.com/office/drawing/2014/main" id="{50D6DC6D-A426-0227-4A64-54A9C9080086}"/>
                      </a:ext>
                    </a:extLst>
                  </xdr:cNvPr>
                  <xdr:cNvSpPr/>
                </xdr:nvSpPr>
                <xdr:spPr>
                  <a:xfrm rot="16200000">
                    <a:off x="9418042" y="4136441"/>
                    <a:ext cx="124520" cy="266295"/>
                  </a:xfrm>
                  <a:prstGeom prst="rightBracket">
                    <a:avLst>
                      <a:gd name="adj" fmla="val 0"/>
                    </a:avLst>
                  </a:prstGeom>
                  <a:ln w="19050"/>
                </xdr:spPr>
                <xdr:style>
                  <a:lnRef idx="1">
                    <a:schemeClr val="accent3"/>
                  </a:lnRef>
                  <a:fillRef idx="0">
                    <a:schemeClr val="accent3"/>
                  </a:fillRef>
                  <a:effectRef idx="0">
                    <a:schemeClr val="accent3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7" name="Прямоугольник 36">
                    <a:extLst>
                      <a:ext uri="{FF2B5EF4-FFF2-40B4-BE49-F238E27FC236}">
                        <a16:creationId xmlns:a16="http://schemas.microsoft.com/office/drawing/2014/main" id="{96483F8D-E402-81B2-48D9-47682C210A39}"/>
                      </a:ext>
                    </a:extLst>
                  </xdr:cNvPr>
                  <xdr:cNvSpPr/>
                </xdr:nvSpPr>
                <xdr:spPr>
                  <a:xfrm>
                    <a:off x="9547170" y="4259368"/>
                    <a:ext cx="45719" cy="288929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8" name="Прямоугольник 37">
                    <a:extLst>
                      <a:ext uri="{FF2B5EF4-FFF2-40B4-BE49-F238E27FC236}">
                        <a16:creationId xmlns:a16="http://schemas.microsoft.com/office/drawing/2014/main" id="{9FF0ABF0-99BE-4B9C-B938-0E1EB8FFB1BF}"/>
                      </a:ext>
                    </a:extLst>
                  </xdr:cNvPr>
                  <xdr:cNvSpPr/>
                </xdr:nvSpPr>
                <xdr:spPr>
                  <a:xfrm>
                    <a:off x="9547170" y="4730739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9" name="Прямоугольник 38">
                    <a:extLst>
                      <a:ext uri="{FF2B5EF4-FFF2-40B4-BE49-F238E27FC236}">
                        <a16:creationId xmlns:a16="http://schemas.microsoft.com/office/drawing/2014/main" id="{3BA795CA-465E-F1A0-F5C5-C227C8D87F5A}"/>
                      </a:ext>
                    </a:extLst>
                  </xdr:cNvPr>
                  <xdr:cNvSpPr/>
                </xdr:nvSpPr>
                <xdr:spPr>
                  <a:xfrm>
                    <a:off x="9547170" y="5201181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0" name="Прямоугольник 39">
                    <a:extLst>
                      <a:ext uri="{FF2B5EF4-FFF2-40B4-BE49-F238E27FC236}">
                        <a16:creationId xmlns:a16="http://schemas.microsoft.com/office/drawing/2014/main" id="{0DCA0DA1-B1B4-4ABA-17E7-E442AFE1565A}"/>
                      </a:ext>
                    </a:extLst>
                  </xdr:cNvPr>
                  <xdr:cNvSpPr/>
                </xdr:nvSpPr>
                <xdr:spPr>
                  <a:xfrm>
                    <a:off x="9547170" y="5671623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1" name="Прямоугольник 40">
                    <a:extLst>
                      <a:ext uri="{FF2B5EF4-FFF2-40B4-BE49-F238E27FC236}">
                        <a16:creationId xmlns:a16="http://schemas.microsoft.com/office/drawing/2014/main" id="{BC1EFE1B-8882-BBC5-0879-281DEA4C90D5}"/>
                      </a:ext>
                    </a:extLst>
                  </xdr:cNvPr>
                  <xdr:cNvSpPr/>
                </xdr:nvSpPr>
                <xdr:spPr>
                  <a:xfrm>
                    <a:off x="9547170" y="6142065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2" name="Прямоугольник 41">
                    <a:extLst>
                      <a:ext uri="{FF2B5EF4-FFF2-40B4-BE49-F238E27FC236}">
                        <a16:creationId xmlns:a16="http://schemas.microsoft.com/office/drawing/2014/main" id="{787AC104-7853-A37F-638B-E6C29CED8F15}"/>
                      </a:ext>
                    </a:extLst>
                  </xdr:cNvPr>
                  <xdr:cNvSpPr/>
                </xdr:nvSpPr>
                <xdr:spPr>
                  <a:xfrm>
                    <a:off x="9366015" y="4497734"/>
                    <a:ext cx="45719" cy="288929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3" name="Прямоугольник 42">
                    <a:extLst>
                      <a:ext uri="{FF2B5EF4-FFF2-40B4-BE49-F238E27FC236}">
                        <a16:creationId xmlns:a16="http://schemas.microsoft.com/office/drawing/2014/main" id="{19610E7A-9D2E-C17C-5E90-5AF5D2062112}"/>
                      </a:ext>
                    </a:extLst>
                  </xdr:cNvPr>
                  <xdr:cNvSpPr/>
                </xdr:nvSpPr>
                <xdr:spPr>
                  <a:xfrm>
                    <a:off x="9366015" y="4969106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4" name="Прямоугольник 43">
                    <a:extLst>
                      <a:ext uri="{FF2B5EF4-FFF2-40B4-BE49-F238E27FC236}">
                        <a16:creationId xmlns:a16="http://schemas.microsoft.com/office/drawing/2014/main" id="{7DBCAE52-FE9A-0856-D3DA-F9278C21074B}"/>
                      </a:ext>
                    </a:extLst>
                  </xdr:cNvPr>
                  <xdr:cNvSpPr/>
                </xdr:nvSpPr>
                <xdr:spPr>
                  <a:xfrm>
                    <a:off x="9366015" y="5439547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5" name="Прямоугольник 44">
                    <a:extLst>
                      <a:ext uri="{FF2B5EF4-FFF2-40B4-BE49-F238E27FC236}">
                        <a16:creationId xmlns:a16="http://schemas.microsoft.com/office/drawing/2014/main" id="{D9A0B8F7-C1CF-3844-502A-D41D92DE7454}"/>
                      </a:ext>
                    </a:extLst>
                  </xdr:cNvPr>
                  <xdr:cNvSpPr/>
                </xdr:nvSpPr>
                <xdr:spPr>
                  <a:xfrm>
                    <a:off x="9366015" y="5909989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</xdr:grpSp>
            <xdr:grpSp>
              <xdr:nvGrpSpPr>
                <xdr:cNvPr id="13" name="Группа 12">
                  <a:extLst>
                    <a:ext uri="{FF2B5EF4-FFF2-40B4-BE49-F238E27FC236}">
                      <a16:creationId xmlns:a16="http://schemas.microsoft.com/office/drawing/2014/main" id="{E773B7A7-F189-634B-E177-EEA87F1E7EF2}"/>
                    </a:ext>
                  </a:extLst>
                </xdr:cNvPr>
                <xdr:cNvGrpSpPr/>
              </xdr:nvGrpSpPr>
              <xdr:grpSpPr>
                <a:xfrm>
                  <a:off x="8706277" y="1921669"/>
                  <a:ext cx="1514928" cy="2453185"/>
                  <a:chOff x="8706277" y="1921669"/>
                  <a:chExt cx="1514928" cy="2453185"/>
                </a:xfrm>
              </xdr:grpSpPr>
              <xdr:grpSp>
                <xdr:nvGrpSpPr>
                  <xdr:cNvPr id="14" name="Группа 13">
                    <a:extLst>
                      <a:ext uri="{FF2B5EF4-FFF2-40B4-BE49-F238E27FC236}">
                        <a16:creationId xmlns:a16="http://schemas.microsoft.com/office/drawing/2014/main" id="{87517441-ECAB-1325-A6EF-4AF633059404}"/>
                      </a:ext>
                    </a:extLst>
                  </xdr:cNvPr>
                  <xdr:cNvGrpSpPr/>
                </xdr:nvGrpSpPr>
                <xdr:grpSpPr>
                  <a:xfrm>
                    <a:off x="9077068" y="1921669"/>
                    <a:ext cx="739701" cy="2436006"/>
                    <a:chOff x="9077068" y="1921669"/>
                    <a:chExt cx="739701" cy="2436006"/>
                  </a:xfrm>
                </xdr:grpSpPr>
                <xdr:cxnSp macro="">
                  <xdr:nvCxnSpPr>
                    <xdr:cNvPr id="20" name="Прямая соединительная линия 19">
                      <a:extLst>
                        <a:ext uri="{FF2B5EF4-FFF2-40B4-BE49-F238E27FC236}">
                          <a16:creationId xmlns:a16="http://schemas.microsoft.com/office/drawing/2014/main" id="{AA1377FD-A517-9E77-F6D2-1C311AC1A9EC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4195714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1" name="Прямая соединительная линия 20">
                      <a:extLst>
                        <a:ext uri="{FF2B5EF4-FFF2-40B4-BE49-F238E27FC236}">
                          <a16:creationId xmlns:a16="http://schemas.microsoft.com/office/drawing/2014/main" id="{88D8C748-1A10-C74A-31CF-0D4AA037EE35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4287653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" name="Прямая соединительная линия 21">
                      <a:extLst>
                        <a:ext uri="{FF2B5EF4-FFF2-40B4-BE49-F238E27FC236}">
                          <a16:creationId xmlns:a16="http://schemas.microsoft.com/office/drawing/2014/main" id="{F07F7312-66DE-342C-5695-6A23638BC204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4124349"/>
                      <a:ext cx="0" cy="230902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3" name="Прямая соединительная линия 22">
                      <a:extLst>
                        <a:ext uri="{FF2B5EF4-FFF2-40B4-BE49-F238E27FC236}">
                          <a16:creationId xmlns:a16="http://schemas.microsoft.com/office/drawing/2014/main" id="{5A333508-FA34-0385-30E5-F274D55DADD2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3257342"/>
                      <a:ext cx="288345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" name="Прямая соединительная линия 23">
                      <a:extLst>
                        <a:ext uri="{FF2B5EF4-FFF2-40B4-BE49-F238E27FC236}">
                          <a16:creationId xmlns:a16="http://schemas.microsoft.com/office/drawing/2014/main" id="{01FF1523-A856-3F16-9B0C-F55A7F2695BD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3424094"/>
                      <a:ext cx="291747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5" name="Прямая соединительная линия 24">
                      <a:extLst>
                        <a:ext uri="{FF2B5EF4-FFF2-40B4-BE49-F238E27FC236}">
                          <a16:creationId xmlns:a16="http://schemas.microsoft.com/office/drawing/2014/main" id="{C0829553-3C03-4BF6-FA4C-D52400609B63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3179177"/>
                      <a:ext cx="0" cy="306897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6" name="Прямая соединительная линия 25">
                      <a:extLst>
                        <a:ext uri="{FF2B5EF4-FFF2-40B4-BE49-F238E27FC236}">
                          <a16:creationId xmlns:a16="http://schemas.microsoft.com/office/drawing/2014/main" id="{2C33906F-CA85-C0C5-CD39-B740BEEE9B61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2483975"/>
                      <a:ext cx="288345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7" name="Прямая соединительная линия 26">
                      <a:extLst>
                        <a:ext uri="{FF2B5EF4-FFF2-40B4-BE49-F238E27FC236}">
                          <a16:creationId xmlns:a16="http://schemas.microsoft.com/office/drawing/2014/main" id="{49B9A62B-EC30-7F88-6831-38CBDCF7C428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2788211"/>
                      <a:ext cx="291747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" name="Прямая соединительная линия 27">
                      <a:extLst>
                        <a:ext uri="{FF2B5EF4-FFF2-40B4-BE49-F238E27FC236}">
                          <a16:creationId xmlns:a16="http://schemas.microsoft.com/office/drawing/2014/main" id="{38EC5D58-FB71-3FA0-3E18-3D180323D266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2402411"/>
                      <a:ext cx="0" cy="429944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9" name="Прямая соединительная линия 28">
                      <a:extLst>
                        <a:ext uri="{FF2B5EF4-FFF2-40B4-BE49-F238E27FC236}">
                          <a16:creationId xmlns:a16="http://schemas.microsoft.com/office/drawing/2014/main" id="{7F4DBB49-F87D-7BEA-F947-D663554C2024}"/>
                        </a:ext>
                      </a:extLst>
                    </xdr:cNvPr>
                    <xdr:cNvCxnSpPr/>
                  </xdr:nvCxnSpPr>
                  <xdr:spPr>
                    <a:xfrm>
                      <a:off x="9077069" y="2005171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0" name="Прямая соединительная линия 29">
                      <a:extLst>
                        <a:ext uri="{FF2B5EF4-FFF2-40B4-BE49-F238E27FC236}">
                          <a16:creationId xmlns:a16="http://schemas.microsoft.com/office/drawing/2014/main" id="{7E2AF404-CEF4-92BF-CFBB-4BD9CEA1B5B6}"/>
                        </a:ext>
                      </a:extLst>
                    </xdr:cNvPr>
                    <xdr:cNvCxnSpPr/>
                  </xdr:nvCxnSpPr>
                  <xdr:spPr>
                    <a:xfrm>
                      <a:off x="9077068" y="2245477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1" name="Прямая соединительная линия 30">
                      <a:extLst>
                        <a:ext uri="{FF2B5EF4-FFF2-40B4-BE49-F238E27FC236}">
                          <a16:creationId xmlns:a16="http://schemas.microsoft.com/office/drawing/2014/main" id="{8BE50F41-8A72-C334-0313-4ED97FF9CD59}"/>
                        </a:ext>
                      </a:extLst>
                    </xdr:cNvPr>
                    <xdr:cNvCxnSpPr/>
                  </xdr:nvCxnSpPr>
                  <xdr:spPr>
                    <a:xfrm flipV="1">
                      <a:off x="9155607" y="1921669"/>
                      <a:ext cx="0" cy="405725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2" name="Прямая соединительная линия 31">
                      <a:extLst>
                        <a:ext uri="{FF2B5EF4-FFF2-40B4-BE49-F238E27FC236}">
                          <a16:creationId xmlns:a16="http://schemas.microsoft.com/office/drawing/2014/main" id="{2CE8D981-F667-92A8-5CA1-4C47B0B1BCC6}"/>
                        </a:ext>
                      </a:extLst>
                    </xdr:cNvPr>
                    <xdr:cNvCxnSpPr/>
                  </xdr:nvCxnSpPr>
                  <xdr:spPr>
                    <a:xfrm>
                      <a:off x="9077069" y="3964048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3" name="Прямая соединительная линия 32">
                      <a:extLst>
                        <a:ext uri="{FF2B5EF4-FFF2-40B4-BE49-F238E27FC236}">
                          <a16:creationId xmlns:a16="http://schemas.microsoft.com/office/drawing/2014/main" id="{97B1C0A7-0905-138F-A131-B7B2F1EB05D3}"/>
                        </a:ext>
                      </a:extLst>
                    </xdr:cNvPr>
                    <xdr:cNvCxnSpPr/>
                  </xdr:nvCxnSpPr>
                  <xdr:spPr>
                    <a:xfrm>
                      <a:off x="9077068" y="4287900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4" name="Прямая соединительная линия 33">
                      <a:extLst>
                        <a:ext uri="{FF2B5EF4-FFF2-40B4-BE49-F238E27FC236}">
                          <a16:creationId xmlns:a16="http://schemas.microsoft.com/office/drawing/2014/main" id="{166FAB41-3870-2203-45D9-8264BA6EC21F}"/>
                        </a:ext>
                      </a:extLst>
                    </xdr:cNvPr>
                    <xdr:cNvCxnSpPr/>
                  </xdr:nvCxnSpPr>
                  <xdr:spPr>
                    <a:xfrm flipV="1">
                      <a:off x="9155607" y="3873985"/>
                      <a:ext cx="0" cy="48369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15" name="TextBox 14">
                    <a:extLst>
                      <a:ext uri="{FF2B5EF4-FFF2-40B4-BE49-F238E27FC236}">
                        <a16:creationId xmlns:a16="http://schemas.microsoft.com/office/drawing/2014/main" id="{9CAAB975-BE55-A327-543F-8DB13CA412FA}"/>
                      </a:ext>
                    </a:extLst>
                  </xdr:cNvPr>
                  <xdr:cNvSpPr txBox="1"/>
                </xdr:nvSpPr>
                <xdr:spPr>
                  <a:xfrm>
                    <a:off x="9759461" y="4110404"/>
                    <a:ext cx="298161" cy="26445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ru-RU" sz="1100"/>
                      <a:t>50</a:t>
                    </a:r>
                    <a:endParaRPr lang="en-US" sz="1100"/>
                  </a:p>
                </xdr:txBody>
              </xdr:sp>
              <xdr:sp macro="" textlink="$EJ$309">
                <xdr:nvSpPr>
                  <xdr:cNvPr id="16" name="TextBox 15">
                    <a:extLst>
                      <a:ext uri="{FF2B5EF4-FFF2-40B4-BE49-F238E27FC236}">
                        <a16:creationId xmlns:a16="http://schemas.microsoft.com/office/drawing/2014/main" id="{7E4117DB-523C-90BD-10BB-D9A93D04F785}"/>
                      </a:ext>
                    </a:extLst>
                  </xdr:cNvPr>
                  <xdr:cNvSpPr txBox="1"/>
                </xdr:nvSpPr>
                <xdr:spPr>
                  <a:xfrm>
                    <a:off x="9759463" y="3214340"/>
                    <a:ext cx="461742" cy="28056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BC470461-8881-4AE7-AA79-986351D77A02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23,3</a:t>
                    </a:fld>
                    <a:endParaRPr lang="ru-RU" sz="1100"/>
                  </a:p>
                </xdr:txBody>
              </xdr:sp>
              <xdr:sp macro="" textlink="EC382">
                <xdr:nvSpPr>
                  <xdr:cNvPr id="17" name="TextBox 16">
                    <a:extLst>
                      <a:ext uri="{FF2B5EF4-FFF2-40B4-BE49-F238E27FC236}">
                        <a16:creationId xmlns:a16="http://schemas.microsoft.com/office/drawing/2014/main" id="{29FB9F32-82A0-EF9E-BC8D-D74E97A461DB}"/>
                      </a:ext>
                    </a:extLst>
                  </xdr:cNvPr>
                  <xdr:cNvSpPr txBox="1"/>
                </xdr:nvSpPr>
                <xdr:spPr>
                  <a:xfrm>
                    <a:off x="9759461" y="2497194"/>
                    <a:ext cx="424320" cy="28056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1D4E1E9A-5C49-4E3B-B23F-B6499CAAE125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100</a:t>
                    </a:fld>
                    <a:endParaRPr lang="ru-RU" sz="1100"/>
                  </a:p>
                </xdr:txBody>
              </xdr:sp>
              <xdr:sp macro="" textlink="$EK$310">
                <xdr:nvSpPr>
                  <xdr:cNvPr id="18" name="TextBox 17">
                    <a:extLst>
                      <a:ext uri="{FF2B5EF4-FFF2-40B4-BE49-F238E27FC236}">
                        <a16:creationId xmlns:a16="http://schemas.microsoft.com/office/drawing/2014/main" id="{0C7783EC-5422-A25E-F5FB-08EA8B244D51}"/>
                      </a:ext>
                    </a:extLst>
                  </xdr:cNvPr>
                  <xdr:cNvSpPr txBox="1"/>
                </xdr:nvSpPr>
                <xdr:spPr>
                  <a:xfrm>
                    <a:off x="8830017" y="2007915"/>
                    <a:ext cx="327654" cy="236187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fld id="{D8CAAA72-385E-4C1C-92D2-40BD171CCC2C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65</a:t>
                    </a:fld>
                    <a:endParaRPr lang="ru-RU" sz="1100"/>
                  </a:p>
                </xdr:txBody>
              </xdr:sp>
              <xdr:sp macro="" textlink="$EI$310">
                <xdr:nvSpPr>
                  <xdr:cNvPr id="19" name="TextBox 18">
                    <a:extLst>
                      <a:ext uri="{FF2B5EF4-FFF2-40B4-BE49-F238E27FC236}">
                        <a16:creationId xmlns:a16="http://schemas.microsoft.com/office/drawing/2014/main" id="{F246D05A-080C-F0AD-5A8D-870D144DA50E}"/>
                      </a:ext>
                    </a:extLst>
                  </xdr:cNvPr>
                  <xdr:cNvSpPr txBox="1"/>
                </xdr:nvSpPr>
                <xdr:spPr>
                  <a:xfrm>
                    <a:off x="8706277" y="3995789"/>
                    <a:ext cx="537744" cy="28056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9238EEAB-CC77-41C8-A74F-87E61EA2A89E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148,5</a:t>
                    </a:fld>
                    <a:endParaRPr lang="ru-RU" sz="1100"/>
                  </a:p>
                </xdr:txBody>
              </xdr:sp>
            </xdr:grpSp>
          </xdr:grpSp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157EF94B-337C-F533-DB69-1EC6535C81F9}"/>
                  </a:ext>
                </a:extLst>
              </xdr:cNvPr>
              <xdr:cNvSpPr txBox="1"/>
            </xdr:nvSpPr>
            <xdr:spPr>
              <a:xfrm>
                <a:off x="14978520" y="2859790"/>
                <a:ext cx="257186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 i="1"/>
                  <a:t>a</a:t>
                </a:r>
                <a:endParaRPr lang="ru-RU" sz="1100" i="1"/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27A432D6-89B3-F08D-53AD-EB57A61F90D9}"/>
                  </a:ext>
                </a:extLst>
              </xdr:cNvPr>
              <xdr:cNvSpPr txBox="1"/>
            </xdr:nvSpPr>
            <xdr:spPr>
              <a:xfrm>
                <a:off x="14346574" y="2859790"/>
                <a:ext cx="257186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 i="1"/>
                  <a:t>b</a:t>
                </a:r>
                <a:endParaRPr lang="ru-RU" sz="1100" i="1"/>
              </a:p>
            </xdr:txBody>
          </xdr:sp>
        </xdr:grp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C382EDC-F3D1-7047-7128-66AB7F8401DC}"/>
                </a:ext>
              </a:extLst>
            </xdr:cNvPr>
            <xdr:cNvSpPr txBox="1"/>
          </xdr:nvSpPr>
          <xdr:spPr>
            <a:xfrm>
              <a:off x="14040970" y="4437529"/>
              <a:ext cx="152035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Заполнение шахматка</a:t>
              </a: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185057</xdr:rowOff>
        </xdr:from>
        <xdr:to>
          <xdr:col>2</xdr:col>
          <xdr:colOff>579120</xdr:colOff>
          <xdr:row>34</xdr:row>
          <xdr:rowOff>85997</xdr:rowOff>
        </xdr:to>
        <xdr:pic>
          <xdr:nvPicPr>
            <xdr:cNvPr id="99" name="Рисунок 98">
              <a:extLst>
                <a:ext uri="{FF2B5EF4-FFF2-40B4-BE49-F238E27FC236}">
                  <a16:creationId xmlns:a16="http://schemas.microsoft.com/office/drawing/2014/main" id="{B0AF3ED3-E2A4-4318-81DA-9CB84D2CB84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X305:DZ324" spid="_x0000_s730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3233057"/>
              <a:ext cx="5021580" cy="38252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617220</xdr:colOff>
          <xdr:row>29</xdr:row>
          <xdr:rowOff>76200</xdr:rowOff>
        </xdr:from>
        <xdr:to>
          <xdr:col>8</xdr:col>
          <xdr:colOff>647700</xdr:colOff>
          <xdr:row>38</xdr:row>
          <xdr:rowOff>129540</xdr:rowOff>
        </xdr:to>
        <xdr:pic>
          <xdr:nvPicPr>
            <xdr:cNvPr id="100" name="Рисунок 99">
              <a:extLst>
                <a:ext uri="{FF2B5EF4-FFF2-40B4-BE49-F238E27FC236}">
                  <a16:creationId xmlns:a16="http://schemas.microsoft.com/office/drawing/2014/main" id="{C485B938-1C8F-4FD0-B442-979DBF6E57A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$DX$326:$DZ$336" spid="_x0000_s730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59680" y="5905500"/>
              <a:ext cx="5021580" cy="21107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624840</xdr:colOff>
          <xdr:row>17</xdr:row>
          <xdr:rowOff>2177</xdr:rowOff>
        </xdr:from>
        <xdr:to>
          <xdr:col>8</xdr:col>
          <xdr:colOff>655320</xdr:colOff>
          <xdr:row>28</xdr:row>
          <xdr:rowOff>131717</xdr:rowOff>
        </xdr:to>
        <xdr:pic>
          <xdr:nvPicPr>
            <xdr:cNvPr id="101" name="Рисунок 100">
              <a:extLst>
                <a:ext uri="{FF2B5EF4-FFF2-40B4-BE49-F238E27FC236}">
                  <a16:creationId xmlns:a16="http://schemas.microsoft.com/office/drawing/2014/main" id="{820D9286-6063-438F-B01D-51C310C4A5D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$DX$338:$DZ$350" spid="_x0000_s730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067300" y="3240677"/>
              <a:ext cx="5021580" cy="24917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53340</xdr:rowOff>
        </xdr:from>
        <xdr:to>
          <xdr:col>2</xdr:col>
          <xdr:colOff>579120</xdr:colOff>
          <xdr:row>51</xdr:row>
          <xdr:rowOff>220980</xdr:rowOff>
        </xdr:to>
        <xdr:pic>
          <xdr:nvPicPr>
            <xdr:cNvPr id="102" name="Рисунок 101">
              <a:extLst>
                <a:ext uri="{FF2B5EF4-FFF2-40B4-BE49-F238E27FC236}">
                  <a16:creationId xmlns:a16="http://schemas.microsoft.com/office/drawing/2014/main" id="{4DDB4B54-B2BC-FEC2-EFFC-366E7186EE7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X283:DZ302" spid="_x0000_s7307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7254240"/>
              <a:ext cx="5021580" cy="382524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8230E-58B0-4926-8EA9-C74A8F24FCFE}" name="ламель125" displayName="ламель125" ref="Z80:Z81" totalsRowShown="0" headerRowDxfId="3">
  <autoFilter ref="Z80:Z81" xr:uid="{D138230E-58B0-4926-8EA9-C74A8F24FCFE}"/>
  <tableColumns count="1">
    <tableColumn id="1" xr3:uid="{A71F9B2F-957F-4507-AFBE-F3572B796795}" name="ламель 1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AA8299-5559-44F9-AA35-72AE4C54B75F}" name="ламель150" displayName="ламель150" ref="AA80:AA82" totalsRowShown="0" headerRowDxfId="2">
  <autoFilter ref="AA80:AA82" xr:uid="{BEAA8299-5559-44F9-AA35-72AE4C54B75F}"/>
  <tableColumns count="1">
    <tableColumn id="1" xr3:uid="{9C5C3DD9-CC5B-48D9-A0A6-53279323C82E}" name="ламель 1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A91923-C861-4A30-ABEA-98086D00AB40}" name="ламель50" displayName="ламель50" ref="AB80:AB82" totalsRowShown="0">
  <autoFilter ref="AB80:AB82" xr:uid="{83A91923-C861-4A30-ABEA-98086D00AB40}"/>
  <tableColumns count="1">
    <tableColumn id="1" xr3:uid="{CE2DAE60-73CE-4369-B221-231C6D65EA1D}" name="Ламель 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D8B1D4-FDCF-4079-8330-6EAB35C5DFBC}" name="ламель200" displayName="ламель200" ref="AC80:AC82" totalsRowShown="0">
  <autoFilter ref="AC80:AC82" xr:uid="{23D8B1D4-FDCF-4079-8330-6EAB35C5DFBC}"/>
  <tableColumns count="1">
    <tableColumn id="1" xr3:uid="{05A5777C-BC55-4105-A958-30038BCFB091}" name="Ламель 2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G191"/>
  <sheetViews>
    <sheetView showGridLines="0" tabSelected="1" zoomScale="85" zoomScaleNormal="85" zoomScaleSheetLayoutView="50" zoomScalePageLayoutView="55" workbookViewId="0"/>
  </sheetViews>
  <sheetFormatPr defaultColWidth="0" defaultRowHeight="13.2" x14ac:dyDescent="0.25"/>
  <cols>
    <col min="1" max="1" width="55.6640625" style="2" customWidth="1"/>
    <col min="2" max="2" width="14" style="2" customWidth="1"/>
    <col min="3" max="3" width="16.109375" style="2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19.5546875" style="2" bestFit="1" customWidth="1"/>
    <col min="11" max="11" width="10.5546875" style="2" hidden="1" customWidth="1"/>
    <col min="12" max="12" width="9" style="2" hidden="1" customWidth="1"/>
    <col min="13" max="13" width="9.44140625" style="2" hidden="1" customWidth="1"/>
    <col min="14" max="14" width="10.88671875" style="2" hidden="1" customWidth="1"/>
    <col min="15" max="16384" width="9.109375" style="2" hidden="1"/>
  </cols>
  <sheetData>
    <row r="1" spans="1:11" x14ac:dyDescent="0.25">
      <c r="A1" s="121">
        <v>45835</v>
      </c>
      <c r="B1" s="99"/>
      <c r="D1" s="99"/>
      <c r="E1" s="1"/>
      <c r="F1" s="1"/>
      <c r="H1" s="47"/>
      <c r="I1" s="4"/>
    </row>
    <row r="2" spans="1:11" ht="27" customHeight="1" thickBot="1" x14ac:dyDescent="0.3">
      <c r="A2" s="101" t="s">
        <v>312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01" t="s">
        <v>126</v>
      </c>
      <c r="B4" s="202" t="s">
        <v>30</v>
      </c>
      <c r="C4" s="202"/>
      <c r="D4" s="202"/>
      <c r="E4" s="202"/>
      <c r="F4" s="202"/>
      <c r="G4" s="202"/>
      <c r="H4" s="202"/>
      <c r="I4" s="202"/>
      <c r="J4" s="9"/>
      <c r="K4" s="9"/>
    </row>
    <row r="5" spans="1:11" ht="16.5" customHeight="1" x14ac:dyDescent="0.25">
      <c r="A5" s="201"/>
      <c r="B5" s="203" t="s">
        <v>32</v>
      </c>
      <c r="C5" s="203"/>
      <c r="D5" s="203" t="s">
        <v>33</v>
      </c>
      <c r="E5" s="203"/>
      <c r="F5" s="203" t="s">
        <v>34</v>
      </c>
      <c r="G5" s="203"/>
      <c r="H5" s="203" t="s">
        <v>35</v>
      </c>
      <c r="I5" s="203"/>
      <c r="J5" s="9"/>
      <c r="K5" s="9"/>
    </row>
    <row r="6" spans="1:11" ht="16.5" customHeight="1" x14ac:dyDescent="0.25">
      <c r="A6" s="67" t="s">
        <v>311</v>
      </c>
      <c r="B6" s="215" t="s">
        <v>262</v>
      </c>
      <c r="C6" s="216"/>
      <c r="D6" s="216"/>
      <c r="E6" s="216"/>
      <c r="F6" s="216"/>
      <c r="G6" s="216"/>
      <c r="H6" s="216"/>
      <c r="I6" s="217"/>
      <c r="J6" s="6" t="s">
        <v>123</v>
      </c>
      <c r="K6" s="9"/>
    </row>
    <row r="7" spans="1:11" ht="16.5" customHeight="1" x14ac:dyDescent="0.25">
      <c r="A7" s="66" t="s">
        <v>121</v>
      </c>
      <c r="B7" s="200">
        <v>0</v>
      </c>
      <c r="C7" s="200"/>
      <c r="D7" s="200">
        <v>0</v>
      </c>
      <c r="E7" s="200"/>
      <c r="F7" s="200">
        <v>0</v>
      </c>
      <c r="G7" s="200"/>
      <c r="H7" s="200">
        <v>0</v>
      </c>
      <c r="I7" s="200"/>
      <c r="J7" s="6" t="s">
        <v>123</v>
      </c>
      <c r="K7" s="9"/>
    </row>
    <row r="8" spans="1:11" ht="16.5" customHeight="1" x14ac:dyDescent="0.25">
      <c r="A8" s="66" t="s">
        <v>335</v>
      </c>
      <c r="B8" s="200">
        <v>0</v>
      </c>
      <c r="C8" s="200"/>
      <c r="D8" s="200">
        <v>0</v>
      </c>
      <c r="E8" s="200"/>
      <c r="F8" s="200">
        <v>0</v>
      </c>
      <c r="G8" s="200"/>
      <c r="H8" s="200">
        <v>0</v>
      </c>
      <c r="I8" s="200"/>
      <c r="J8" s="6" t="s">
        <v>124</v>
      </c>
      <c r="K8" s="9"/>
    </row>
    <row r="9" spans="1:11" ht="16.5" customHeight="1" x14ac:dyDescent="0.25">
      <c r="A9" s="66" t="s">
        <v>39</v>
      </c>
      <c r="B9" s="200">
        <v>0</v>
      </c>
      <c r="C9" s="200"/>
      <c r="D9" s="200">
        <v>0</v>
      </c>
      <c r="E9" s="200"/>
      <c r="F9" s="200">
        <v>0</v>
      </c>
      <c r="G9" s="200"/>
      <c r="H9" s="200">
        <v>0</v>
      </c>
      <c r="I9" s="200"/>
      <c r="J9" s="6" t="s">
        <v>125</v>
      </c>
      <c r="K9" s="9"/>
    </row>
    <row r="10" spans="1:11" ht="16.5" customHeight="1" x14ac:dyDescent="0.25">
      <c r="A10" s="67" t="s">
        <v>40</v>
      </c>
      <c r="B10" s="200">
        <v>0</v>
      </c>
      <c r="C10" s="200"/>
      <c r="D10" s="200">
        <v>0</v>
      </c>
      <c r="E10" s="200"/>
      <c r="F10" s="200">
        <v>0</v>
      </c>
      <c r="G10" s="200"/>
      <c r="H10" s="200">
        <v>0</v>
      </c>
      <c r="I10" s="200"/>
      <c r="J10" s="6" t="s">
        <v>125</v>
      </c>
      <c r="K10" s="9"/>
    </row>
    <row r="11" spans="1:11" ht="16.5" customHeight="1" x14ac:dyDescent="0.25">
      <c r="A11" s="67" t="s">
        <v>41</v>
      </c>
      <c r="B11" s="200">
        <v>0</v>
      </c>
      <c r="C11" s="200"/>
      <c r="D11" s="200">
        <v>0</v>
      </c>
      <c r="E11" s="200"/>
      <c r="F11" s="200">
        <v>0</v>
      </c>
      <c r="G11" s="200"/>
      <c r="H11" s="200">
        <v>0</v>
      </c>
      <c r="I11" s="200"/>
      <c r="J11" s="6" t="s">
        <v>125</v>
      </c>
      <c r="K11" s="9"/>
    </row>
    <row r="12" spans="1:11" ht="16.5" customHeight="1" x14ac:dyDescent="0.25">
      <c r="A12" s="66" t="s">
        <v>43</v>
      </c>
      <c r="B12" s="200" t="s">
        <v>44</v>
      </c>
      <c r="C12" s="200"/>
      <c r="D12" s="200" t="s">
        <v>44</v>
      </c>
      <c r="E12" s="200"/>
      <c r="F12" s="200" t="s">
        <v>44</v>
      </c>
      <c r="G12" s="200"/>
      <c r="H12" s="200" t="s">
        <v>44</v>
      </c>
      <c r="I12" s="200"/>
      <c r="J12" s="6" t="s">
        <v>123</v>
      </c>
      <c r="K12" s="9"/>
    </row>
    <row r="13" spans="1:11" ht="16.5" customHeight="1" x14ac:dyDescent="0.25">
      <c r="A13" s="66" t="s">
        <v>133</v>
      </c>
      <c r="B13" s="204" t="s">
        <v>44</v>
      </c>
      <c r="C13" s="205"/>
      <c r="D13" s="204" t="s">
        <v>44</v>
      </c>
      <c r="E13" s="205"/>
      <c r="F13" s="204" t="s">
        <v>44</v>
      </c>
      <c r="G13" s="205"/>
      <c r="H13" s="204" t="s">
        <v>44</v>
      </c>
      <c r="I13" s="205"/>
      <c r="J13" s="6" t="s">
        <v>123</v>
      </c>
      <c r="K13" s="9"/>
    </row>
    <row r="14" spans="1:11" ht="29.25" customHeight="1" x14ac:dyDescent="0.25">
      <c r="A14" s="66" t="s">
        <v>134</v>
      </c>
      <c r="B14" s="210" t="s">
        <v>37</v>
      </c>
      <c r="C14" s="211"/>
      <c r="D14" s="210" t="s">
        <v>44</v>
      </c>
      <c r="E14" s="211"/>
      <c r="F14" s="210" t="s">
        <v>44</v>
      </c>
      <c r="G14" s="211"/>
      <c r="H14" s="210" t="s">
        <v>44</v>
      </c>
      <c r="I14" s="211"/>
      <c r="J14" s="6" t="s">
        <v>123</v>
      </c>
      <c r="K14" s="9"/>
    </row>
    <row r="15" spans="1:11" ht="19.5" customHeight="1" x14ac:dyDescent="0.25">
      <c r="A15" s="66" t="s">
        <v>155</v>
      </c>
      <c r="B15" s="210" t="s">
        <v>10</v>
      </c>
      <c r="C15" s="211"/>
      <c r="D15" s="210" t="s">
        <v>10</v>
      </c>
      <c r="E15" s="211"/>
      <c r="F15" s="210" t="s">
        <v>10</v>
      </c>
      <c r="G15" s="211"/>
      <c r="H15" s="210" t="s">
        <v>10</v>
      </c>
      <c r="I15" s="211"/>
      <c r="J15" s="6" t="s">
        <v>123</v>
      </c>
      <c r="K15" s="9"/>
    </row>
    <row r="16" spans="1:11" ht="19.5" customHeight="1" x14ac:dyDescent="0.25">
      <c r="A16" s="66" t="s">
        <v>308</v>
      </c>
      <c r="B16" s="210" t="s">
        <v>195</v>
      </c>
      <c r="C16" s="211"/>
      <c r="D16" s="210" t="s">
        <v>44</v>
      </c>
      <c r="E16" s="211"/>
      <c r="F16" s="210" t="s">
        <v>44</v>
      </c>
      <c r="G16" s="211"/>
      <c r="H16" s="210" t="s">
        <v>44</v>
      </c>
      <c r="I16" s="211"/>
      <c r="J16" s="6" t="s">
        <v>123</v>
      </c>
      <c r="K16" s="9"/>
    </row>
    <row r="17" spans="1:11" ht="19.5" customHeight="1" x14ac:dyDescent="0.25">
      <c r="A17" s="212" t="s">
        <v>310</v>
      </c>
      <c r="B17" s="212"/>
      <c r="C17" s="212"/>
      <c r="D17" s="212"/>
      <c r="E17" s="212"/>
      <c r="F17" s="212"/>
      <c r="G17" s="212"/>
      <c r="H17" s="212"/>
      <c r="I17" s="212"/>
      <c r="K17" s="9"/>
    </row>
    <row r="18" spans="1:11" ht="44.25" customHeight="1" x14ac:dyDescent="0.25">
      <c r="A18" s="122" t="str">
        <f>IF(OR(B8&gt;2.5,D8&gt;2.5,F8&gt;2.5,H8&gt;2.5),"Секции более 2,5 метров не рекомендуются. Продажа осуществляется по подписанной спецификации клиента","")</f>
        <v/>
      </c>
      <c r="B18" s="213" t="s">
        <v>383</v>
      </c>
      <c r="C18" s="213"/>
      <c r="D18" s="213"/>
      <c r="E18" s="213"/>
      <c r="F18" s="213"/>
      <c r="G18" s="213"/>
      <c r="H18" s="213"/>
      <c r="I18" s="213"/>
      <c r="J18" s="9"/>
      <c r="K18" s="9"/>
    </row>
    <row r="19" spans="1:11" ht="16.5" customHeight="1" x14ac:dyDescent="0.25">
      <c r="A19" s="202" t="s">
        <v>127</v>
      </c>
      <c r="B19" s="222" t="s">
        <v>0</v>
      </c>
      <c r="C19" s="223"/>
      <c r="D19" s="223" t="s">
        <v>1</v>
      </c>
      <c r="E19" s="223"/>
      <c r="F19" s="223" t="s">
        <v>2</v>
      </c>
      <c r="G19" s="223"/>
      <c r="H19" s="223" t="s">
        <v>3</v>
      </c>
      <c r="I19" s="224"/>
      <c r="K19" s="9"/>
    </row>
    <row r="20" spans="1:11" ht="16.5" customHeight="1" x14ac:dyDescent="0.25">
      <c r="A20" s="202"/>
      <c r="B20" s="68" t="s">
        <v>6</v>
      </c>
      <c r="C20" s="69" t="s">
        <v>7</v>
      </c>
      <c r="D20" s="70" t="s">
        <v>6</v>
      </c>
      <c r="E20" s="69" t="s">
        <v>7</v>
      </c>
      <c r="F20" s="70" t="s">
        <v>6</v>
      </c>
      <c r="G20" s="69" t="s">
        <v>7</v>
      </c>
      <c r="H20" s="70" t="s">
        <v>6</v>
      </c>
      <c r="I20" s="68" t="s">
        <v>7</v>
      </c>
      <c r="K20" s="9"/>
    </row>
    <row r="21" spans="1:11" ht="16.5" customHeight="1" x14ac:dyDescent="0.25">
      <c r="A21" s="71" t="s">
        <v>82</v>
      </c>
      <c r="B21" s="71"/>
      <c r="C21" s="72"/>
      <c r="D21" s="73"/>
      <c r="E21" s="74"/>
      <c r="F21" s="73"/>
      <c r="G21" s="74"/>
      <c r="H21" s="73"/>
      <c r="I21" s="75"/>
      <c r="K21" s="9"/>
    </row>
    <row r="22" spans="1:11" ht="16.5" customHeight="1" x14ac:dyDescent="0.25">
      <c r="A22" s="44" t="str">
        <f>B6</f>
        <v>Ламель Milan</v>
      </c>
      <c r="B22" s="51">
        <f>IF(B8=0,0,B8-0.01)</f>
        <v>0</v>
      </c>
      <c r="C22" s="52">
        <f>IF(B22=0,0,B9*ROUNDDOWN(B7/(110/1000),0))</f>
        <v>0</v>
      </c>
      <c r="D22" s="51">
        <f>IF(D8=0,0,D8-0.01)</f>
        <v>0</v>
      </c>
      <c r="E22" s="52">
        <f>IF(D22=0,0,D9*ROUNDDOWN(D7/(110/1000),0))</f>
        <v>0</v>
      </c>
      <c r="F22" s="51">
        <f>IF(F8=0,0,F8-0.01)</f>
        <v>0</v>
      </c>
      <c r="G22" s="52">
        <f>IF(F22=0,0,F9*ROUNDDOWN(F7/(110/1000),0))</f>
        <v>0</v>
      </c>
      <c r="H22" s="51">
        <f>IF(H8=0,0,H8-0.01)</f>
        <v>0</v>
      </c>
      <c r="I22" s="54">
        <f>IF(H22=0,0,H9*ROUNDDOWN(H7/(110/1000),0))</f>
        <v>0</v>
      </c>
      <c r="K22" s="9"/>
    </row>
    <row r="23" spans="1:11" ht="16.5" customHeight="1" x14ac:dyDescent="0.25">
      <c r="A23" s="44" t="s">
        <v>115</v>
      </c>
      <c r="B23" s="51">
        <f>IF(B6="Ламель Milan slim",0,IF(AND(B8&gt;=0.5, B8&lt;=2), 2, IF(AND(B8&gt;2, B8&lt;=2.5), 2.5, IF(AND(B8&gt;2.5, B8&lt;=3), 3,0))))</f>
        <v>0</v>
      </c>
      <c r="C23" s="52">
        <f>IF(B23=0,0,B9)</f>
        <v>0</v>
      </c>
      <c r="D23" s="51">
        <f>IF(B6="Ламель Milan slim",0,IF(AND(D8&gt;=0.5, D8&lt;=2), 2, IF(AND(D8&gt;2, D8&lt;=2.5), 2.5, IF(AND(D8&gt;2.5, D8&lt;=3), 3,0))))</f>
        <v>0</v>
      </c>
      <c r="E23" s="52">
        <f>IF(D23=0,0,D9)</f>
        <v>0</v>
      </c>
      <c r="F23" s="51">
        <f>IF(B6="Ламель Milan slim",0,IF(AND(F8&gt;=0.5, F8&lt;=2), 2, IF(AND(F8&gt;2, F8&lt;=2.5), 2.5, IF(AND(F8&gt;2.5, F8&lt;=3), 3,0))))</f>
        <v>0</v>
      </c>
      <c r="G23" s="52">
        <f>IF(F23=0,0,F9)</f>
        <v>0</v>
      </c>
      <c r="H23" s="51">
        <f>IF(B6="Ламель Milan slim",0,IF(AND(H8&gt;=0.5, H8&lt;=2), 2, IF(AND(H8&gt;2, H8&lt;=2.5), 2.5, IF(AND(H8&gt;2.5, H8&lt;=3), 3,0))))</f>
        <v>0</v>
      </c>
      <c r="I23" s="54">
        <f>IF(H23=0,0,H9)</f>
        <v>0</v>
      </c>
      <c r="K23" s="9"/>
    </row>
    <row r="24" spans="1:11" ht="16.5" customHeight="1" x14ac:dyDescent="0.25">
      <c r="A24" s="44" t="s">
        <v>4</v>
      </c>
      <c r="B24" s="51">
        <f>IF(AND(B7&gt;0,B12="да"),0,IF(AND(B7&gt;=0.1, B7&lt;=1.8), 1.8, IF(AND(B7&gt;1.8, B7&lt;=2), 2, IF(AND(B7&gt;2, B7&lt;=2.5), 2.5, IF(AND(B7&gt;2.5, B7&lt;=3), 3, 0)))))</f>
        <v>0</v>
      </c>
      <c r="C24" s="52">
        <f>IF(B24=0,0,IF(B9=0,0,IF(B9=1,2*2,IF(B11=0,(B9+1)*2-C25,(B9+1+B11)*2-C25))))</f>
        <v>0</v>
      </c>
      <c r="D24" s="51">
        <f>IF(AND(D7&gt;0,D12="да"),0,IF(AND(D7&gt;=0.1, D7&lt;=1.8), 1.8, IF(AND(D7&gt;1.8, D7&lt;=2), 2, IF(AND(D7&gt;2, D7&lt;=2.5), 2.5, IF(AND(D7&gt;2.5, D7&lt;=3), 3, 0)))))</f>
        <v>0</v>
      </c>
      <c r="E24" s="52">
        <f>IF(D24=0,0,IF(D9=0,0,IF(D9=1,2*2,IF(D11=0,(D9+1)*2-E25,(D9+1+D11)*2-E25))))</f>
        <v>0</v>
      </c>
      <c r="F24" s="51">
        <f>IF(AND(F7&gt;0,F12="да"),0,IF(AND(F7&gt;=0.1, F7&lt;=1.8), 1.8, IF(AND(F7&gt;1.8, F7&lt;=2), 2, IF(AND(F7&gt;2, F7&lt;=2.5), 2.5, IF(AND(F7&gt;2.5, F7&lt;=3), 3, 0)))))</f>
        <v>0</v>
      </c>
      <c r="G24" s="52">
        <f>IF(F24=0,0,IF(F9=0,0,IF(F9=1,2*2,IF(F11=0,(F9+1)*2-G25,(F9+1+F11)*2-G25))))</f>
        <v>0</v>
      </c>
      <c r="H24" s="51">
        <f>IF(AND(H7&gt;0,H12="да"),0,IF(AND(H7&gt;=0.1, H7&lt;=1.8), 1.8, IF(AND(H7&gt;1.8, H7&lt;=2), 2, IF(AND(H7&gt;2, H7&lt;=2.5), 2.5, IF(AND(H7&gt;2.5, H7&lt;=3), 3, 0)))))</f>
        <v>0</v>
      </c>
      <c r="I24" s="54">
        <f>IF(H24=0,0,IF(H9=0,0,IF(H9=1,2*2,IF(H11=0,(H9+1)*2-I25,(H9+1+H11)*2-I25))))</f>
        <v>0</v>
      </c>
      <c r="J24" s="86"/>
      <c r="K24" s="9"/>
    </row>
    <row r="25" spans="1:11" ht="16.5" customHeight="1" x14ac:dyDescent="0.25">
      <c r="A25" s="44" t="s">
        <v>8</v>
      </c>
      <c r="B25" s="51">
        <f>IF(OR(AND(B10=0,B11=0),B12="да"),0,IF(AND(B7&gt;=0.1, B7&lt;=1.8), 1.8, IF(AND(B7&gt;1.8, B7&lt;=2), 2, IF(AND(B7&gt;2, B7&lt;=2.5), 2.5, IF(AND(B7&gt;2.5, B7&lt;=3), 3, 0)))))</f>
        <v>0</v>
      </c>
      <c r="C25" s="52">
        <f>IF(B25=0,0,B10+B11*2)</f>
        <v>0</v>
      </c>
      <c r="D25" s="51">
        <f>IF(OR(AND(D10=0,D11=0),D12="да"),0,IF(AND(D7&gt;=0.1, D7&lt;=1.8), 1.8, IF(AND(D7&gt;1.8, D7&lt;=2), 2, IF(AND(D7&gt;2, D7&lt;=2.5), 2.5, IF(AND(D7&gt;2.5, D7&lt;=3), 3, 0)))))</f>
        <v>0</v>
      </c>
      <c r="E25" s="52">
        <f>IF(D25=0,0,D10+D11*2)</f>
        <v>0</v>
      </c>
      <c r="F25" s="51">
        <f>IF(OR(AND(F10=0,F11=0),F12="да"),0,IF(AND(F7&gt;=0.1, F7&lt;=1.8), 1.8, IF(AND(F7&gt;1.8, F7&lt;=2), 2, IF(AND(F7&gt;2, F7&lt;=2.5), 2.5, IF(AND(F7&gt;2.5, F7&lt;=3), 3, 0)))))</f>
        <v>0</v>
      </c>
      <c r="G25" s="52">
        <f>IF(F25=0,0,F10+F11*2)</f>
        <v>0</v>
      </c>
      <c r="H25" s="51">
        <f>IF(OR(AND(H10=0,H11=0),H12="да"),0,IF(AND(H7&gt;=0.1, H7&lt;=1.8), 1.8, IF(AND(H7&gt;1.8, H7&lt;=2), 2, IF(AND(H7&gt;2, H7&lt;=2.5), 2.5, IF(AND(H7&gt;2.5, H7&lt;=3), 3, 0)))))</f>
        <v>0</v>
      </c>
      <c r="I25" s="54">
        <f>IF(H25=0,0,H10+H11*2)</f>
        <v>0</v>
      </c>
      <c r="K25" s="9"/>
    </row>
    <row r="26" spans="1:11" ht="16.5" customHeight="1" x14ac:dyDescent="0.25">
      <c r="A26" s="44" t="s">
        <v>5</v>
      </c>
      <c r="B26" s="51">
        <f>IF(B9=0,0,IF(AND(B7&gt;=0.1, B7&lt;=1.8), 1.8, IF(AND(B7&gt;1.8, B7&lt;=2), 2, IF(AND(B7&gt;2, B7&lt;=2.5), 2.5, IF(AND(B7&gt;2.5, B7&lt;=3), 3, 0)))))</f>
        <v>0</v>
      </c>
      <c r="C26" s="52">
        <f>B9*(IF(AND(B8&gt;=0, B8&lt;=1.49), 0, IF(AND(B8&gt;1.5, B8&lt;=2), 1, IF(AND(B8&gt;2.01, B8&lt;=3), 2,0))))</f>
        <v>0</v>
      </c>
      <c r="D26" s="51">
        <f>IF(D9=0,0,IF(AND(D7&gt;=0.1, D7&lt;=1.8), 1.8, IF(AND(D7&gt;1.8, D7&lt;=2), 2, IF(AND(D7&gt;2, D7&lt;=2.5), 2.5, IF(AND(D7&gt;2.5, D7&lt;=3), 3, 0)))))</f>
        <v>0</v>
      </c>
      <c r="E26" s="52">
        <f>D9*(IF(AND(D8&gt;=0, D8&lt;=1.49), 0, IF(AND(D8&gt;1.5, D8&lt;=2), 1, IF(AND(D8&gt;2.01, D8&lt;=3), 2,0))))</f>
        <v>0</v>
      </c>
      <c r="F26" s="51">
        <f>IF(F9=0,0,IF(AND(F7&gt;=0.1, F7&lt;=1.8), 1.8, IF(AND(F7&gt;1.8, F7&lt;=2), 2, IF(AND(F7&gt;2, F7&lt;=2.5), 2.5, IF(AND(F7&gt;2.5, F7&lt;=3), 3, 0)))))</f>
        <v>0</v>
      </c>
      <c r="G26" s="52">
        <f>F9*(IF(AND(F8&gt;=0, F8&lt;=1.49), 0, IF(AND(F8&gt;1.5, F8&lt;=2), 1, IF(AND(F8&gt;2.01, F8&lt;=3), 2,0))))</f>
        <v>0</v>
      </c>
      <c r="H26" s="51">
        <f>IF(H9=0,0,IF(AND(H7&gt;=0.1, H7&lt;=1.8), 1.8, IF(AND(H7&gt;1.8, H7&lt;=2), 2, IF(AND(H7&gt;2, H7&lt;=2.5), 2.5, IF(AND(H7&gt;2.5, H7&lt;=3), 3, 0)))))</f>
        <v>0</v>
      </c>
      <c r="I26" s="54">
        <f>H9*(IF(AND(H8&gt;=0, H8&lt;=1.49), 0, IF(AND(H8&gt;1.5, H8&lt;=2), 1, IF(AND(H8&gt;2.01, H8&lt;=3), 2,0))))</f>
        <v>0</v>
      </c>
      <c r="K26" s="9"/>
    </row>
    <row r="27" spans="1:11" ht="16.5" customHeight="1" x14ac:dyDescent="0.25">
      <c r="A27" s="44" t="str">
        <f>IF(B6="Ламель Milan slim","Стойка slim","Стойка")</f>
        <v>Стойка</v>
      </c>
      <c r="B27" s="51">
        <f>IF(B9=0,0,IF(AND(B7&gt;=0.1, B7&lt;=1.8), 1.8, IF(AND(B7&gt;1.8, B7&lt;=2), 2, IF(AND(B7&gt;2, B7&lt;=2.5), 2.5, IF(AND(B7&gt;2.5, B7&lt;=3), 3, 0)))))</f>
        <v>0</v>
      </c>
      <c r="C27" s="52">
        <f>2*B9</f>
        <v>0</v>
      </c>
      <c r="D27" s="51">
        <f>IF(D9=0,0,IF(AND(D7&gt;=0.1, D7&lt;=1.8), 1.8, IF(AND(D7&gt;1.8, D7&lt;=2), 2, IF(AND(D7&gt;2, D7&lt;=2.5), 2.5, IF(AND(D7&gt;2.5, D7&lt;=3), 3, 0)))))</f>
        <v>0</v>
      </c>
      <c r="E27" s="52">
        <f>2*D9</f>
        <v>0</v>
      </c>
      <c r="F27" s="51">
        <f>IF(F9=0,0,IF(AND(F7&gt;=0.1, F7&lt;=1.8), 1.8, IF(AND(F7&gt;1.8, F7&lt;=2), 2, IF(AND(F7&gt;2, F7&lt;=2.5), 2.5, IF(AND(F7&gt;2.5, F7&lt;=3), 3, 0)))))</f>
        <v>0</v>
      </c>
      <c r="G27" s="52">
        <f>2*F9</f>
        <v>0</v>
      </c>
      <c r="H27" s="51">
        <f>IF(H9=0,0,IF(AND(H7&gt;=0.1, H7&lt;=1.8), 1.8, IF(AND(H7&gt;1.8, H7&lt;=2), 2, IF(AND(H7&gt;2, H7&lt;=2.5), 2.5, IF(AND(H7&gt;2.5, H7&lt;=3), 3, 0)))))</f>
        <v>0</v>
      </c>
      <c r="I27" s="54">
        <f>2*H9</f>
        <v>0</v>
      </c>
      <c r="K27" s="9"/>
    </row>
    <row r="28" spans="1:11" ht="16.5" customHeight="1" x14ac:dyDescent="0.25">
      <c r="A28" s="44" t="str">
        <f>IF(B6="Ламель Milan slim","Крышка slim","Крышка ")</f>
        <v xml:space="preserve">Крышка </v>
      </c>
      <c r="B28" s="51">
        <f>IF(AND(B8&gt;=0.5, B8&lt;=2), 2, IF(AND(B8&gt;2, B8&lt;=2.5), 2.5, IF(AND(B8&gt;2.5, B8&lt;=3), 3,0)))</f>
        <v>0</v>
      </c>
      <c r="C28" s="52">
        <f>1*B9</f>
        <v>0</v>
      </c>
      <c r="D28" s="51">
        <f>IF(AND(D8&gt;=0.5, D8&lt;=2), 2, IF(AND(D8&gt;2, D8&lt;=2.5), 2.5, IF(AND(D8&gt;2.5, D8&lt;=3), 3,0)))</f>
        <v>0</v>
      </c>
      <c r="E28" s="52">
        <f>1*D9</f>
        <v>0</v>
      </c>
      <c r="F28" s="51">
        <f>IF(AND(F8&gt;=0.5, F8&lt;=2), 2, IF(AND(F8&gt;2, F8&lt;=2.5), 2.5, IF(AND(F8&gt;2.5, F8&lt;=3), 3,0)))</f>
        <v>0</v>
      </c>
      <c r="G28" s="52">
        <f>1*F9</f>
        <v>0</v>
      </c>
      <c r="H28" s="51">
        <f>IF(AND(H8&gt;=0.5, H8&lt;=2), 2, IF(AND(H8&gt;2, H8&lt;=2.5), 2.5, IF(AND(H8&gt;2.5, H8&lt;=3), 3,0)))</f>
        <v>0</v>
      </c>
      <c r="I28" s="54">
        <f>1*H9</f>
        <v>0</v>
      </c>
      <c r="K28" s="9"/>
    </row>
    <row r="29" spans="1:11" ht="16.5" customHeight="1" x14ac:dyDescent="0.25">
      <c r="A29" s="37" t="s">
        <v>156</v>
      </c>
      <c r="B29" s="55" t="s">
        <v>10</v>
      </c>
      <c r="C29" s="52">
        <f>IF(B12="да",0,(IF(B9=0,0,IF(B9=1,2,IF(B11=0,B9+1,B9+1+B11)))))</f>
        <v>0</v>
      </c>
      <c r="D29" s="55" t="s">
        <v>10</v>
      </c>
      <c r="E29" s="52">
        <f>IF(D12="да",0,(IF(D9=0,0,IF(D9=1,2,IF(D11=0,D9+1,D9+1+D11)))))</f>
        <v>0</v>
      </c>
      <c r="F29" s="55" t="s">
        <v>10</v>
      </c>
      <c r="G29" s="52">
        <f>IF(F12="да",0,(IF(F9=0,0,IF(F9=1,2,IF(F11=0,F9+1,F9+1+F11)))))</f>
        <v>0</v>
      </c>
      <c r="H29" s="55" t="s">
        <v>10</v>
      </c>
      <c r="I29" s="54">
        <f>IF(H12="да",0,(IF(H9=0,0,IF(H9=1,2,IF(H11=0,H9+1,H9+1+H11)))))</f>
        <v>0</v>
      </c>
      <c r="K29" s="9"/>
    </row>
    <row r="30" spans="1:11" ht="16.5" customHeight="1" x14ac:dyDescent="0.25">
      <c r="A30" s="44" t="s">
        <v>9</v>
      </c>
      <c r="B30" s="51" t="s">
        <v>10</v>
      </c>
      <c r="C30" s="52">
        <f>IF(B9=0,0,2)</f>
        <v>0</v>
      </c>
      <c r="D30" s="51" t="s">
        <v>10</v>
      </c>
      <c r="E30" s="52">
        <f>IF(D9=0,0,2)</f>
        <v>0</v>
      </c>
      <c r="F30" s="51" t="s">
        <v>10</v>
      </c>
      <c r="G30" s="52">
        <f>IF(F9=0,0,2)</f>
        <v>0</v>
      </c>
      <c r="H30" s="53" t="s">
        <v>10</v>
      </c>
      <c r="I30" s="54">
        <f>IF(H9=0,0,2)</f>
        <v>0</v>
      </c>
      <c r="K30" s="9"/>
    </row>
    <row r="31" spans="1:11" ht="16.5" customHeight="1" x14ac:dyDescent="0.25">
      <c r="A31" s="38" t="s">
        <v>12</v>
      </c>
      <c r="B31" s="55" t="str">
        <f>IF(C31=0,"-","5,5х19")</f>
        <v>-</v>
      </c>
      <c r="C31" s="52">
        <f>IF(B12="да",0,(C27*5))</f>
        <v>0</v>
      </c>
      <c r="D31" s="55" t="str">
        <f>IF(E31=0,"-","5,5х19")</f>
        <v>-</v>
      </c>
      <c r="E31" s="52">
        <f>IF(D12="да",0,(E27*5))</f>
        <v>0</v>
      </c>
      <c r="F31" s="55" t="str">
        <f>IF(G31=0,"-","5,5х19")</f>
        <v>-</v>
      </c>
      <c r="G31" s="52">
        <f>IF(F12="да",0,(G27*5))</f>
        <v>0</v>
      </c>
      <c r="H31" s="56" t="str">
        <f>IF(I31=0,"-","5,5х19")</f>
        <v>-</v>
      </c>
      <c r="I31" s="54">
        <f>IF(H12="да",0,(I27*5))</f>
        <v>0</v>
      </c>
      <c r="K31" s="9"/>
    </row>
    <row r="32" spans="1:11" ht="16.5" customHeight="1" x14ac:dyDescent="0.25">
      <c r="A32" s="44" t="s">
        <v>13</v>
      </c>
      <c r="B32" s="55" t="str">
        <f>IF(C32=0,"-","4,2x16")</f>
        <v>-</v>
      </c>
      <c r="C32" s="52">
        <f>IF(B16="нет",
IF(AND(B8&gt;=0, B8&lt;=1.49), (ROUNDDOWN(B7/(110/1000),0)*4+4)*B9,
IF(AND(B8&gt;1.5, B8&lt;=2), (ROUNDDOWN(B7/(110/1000),0)*5+8)*B9,
IF(AND(B8&gt;2.01, B8&lt;=3), (ROUNDDOWN(B7/(110/1000),0)*6+8)*B9,
0))),
IF(AND(B8&gt;=0, B8&lt;=1.49), 4*B9,
IF(AND(B8&gt;1.5, B8&lt;=2), (ROUNDDOWN(B7/(110/1000),0)+7)*B9,
IF(AND(B8&gt;2.01, B8&lt;=3), (ROUNDDOWN(B7/(110/1000),0)*2+8)*B9,
0))))</f>
        <v>0</v>
      </c>
      <c r="D32" s="55" t="str">
        <f>IF(E32=0,"-","4,2x16")</f>
        <v>-</v>
      </c>
      <c r="E32" s="52">
        <f>IF(D16="нет",
IF(AND(D8&gt;=0, D8&lt;=1.49), (ROUNDDOWN(D7/(110/1000),0)*4+4)*D9,
IF(AND(D8&gt;1.5, D8&lt;=2), (ROUNDDOWN(D7/(110/1000),0)*5+8)*D9,
IF(AND(D8&gt;2.01, D8&lt;=3), (ROUNDDOWN(D7/(110/1000),0)*6+8)*D9,
0))),
IF(AND(D8&gt;=0, D8&lt;=1.49), 4*D9,
IF(AND(D8&gt;1.5, D8&lt;=2), (ROUNDDOWN(D7/(110/1000),0)+7)*D9,
IF(AND(D8&gt;2.01, D8&lt;=3), (ROUNDDOWN(D7/(110/1000),0)*2+8)*D9,
0))))</f>
        <v>0</v>
      </c>
      <c r="F32" s="55" t="str">
        <f>IF(G32=0,"-","4,2x16")</f>
        <v>-</v>
      </c>
      <c r="G32" s="52">
        <f>IF(F16="нет",
IF(AND(F8&gt;=0, F8&lt;=1.49), (ROUNDDOWN(F7/(110/1000),0)*4+4)*F9,
IF(AND(F8&gt;1.5, F8&lt;=2), (ROUNDDOWN(F7/(110/1000),0)*5+8)*F9,
IF(AND(F8&gt;2.01, F8&lt;=3), (ROUNDDOWN(F7/(110/1000),0)*6+8)*F9,
0))),
IF(AND(F8&gt;=0, F8&lt;=1.49), 4*F9,
IF(AND(F8&gt;1.5, F8&lt;=2), (ROUNDDOWN(F7/(110/1000),0)+7)*F9,
IF(AND(F8&gt;2.01, F8&lt;=3), (ROUNDDOWN(F7/(110/1000),0)*2+8)*F9,
0))))</f>
        <v>0</v>
      </c>
      <c r="H32" s="56" t="str">
        <f>IF(I32=0,"-","4,2x16")</f>
        <v>-</v>
      </c>
      <c r="I32" s="54">
        <f>IF(H16="нет",
IF(AND(H8&gt;=0, H8&lt;=1.49), (ROUNDDOWN(H7/(110/1000),0)*4+4)*H9,
IF(AND(H8&gt;1.5, H8&lt;=2), (ROUNDDOWN(H7/(110/1000),0)*5+8)*H9,
IF(AND(H8&gt;2.01, H8&lt;=3), (ROUNDDOWN(H7/(110/1000),0)*6+8)*H9,
0))),
IF(AND(H8&gt;=0, H8&lt;=1.49), 4*H9,
IF(AND(H8&gt;1.5, H8&lt;=2), (ROUNDDOWN(H7/(110/1000),0)+7)*H9,
IF(AND(H8&gt;2.01, H8&lt;=3), (ROUNDDOWN(H7/(110/1000),0)*2+8)*H9,
0))))</f>
        <v>0</v>
      </c>
      <c r="J32" s="14"/>
      <c r="K32" s="9"/>
    </row>
    <row r="33" spans="1:11" ht="16.5" customHeight="1" x14ac:dyDescent="0.25">
      <c r="A33" s="44" t="s">
        <v>171</v>
      </c>
      <c r="B33" s="55" t="str">
        <f>IF(C33=0,"-","7,5x52")</f>
        <v>-</v>
      </c>
      <c r="C33" s="52">
        <f>IF(B$9=0,0,IF(B$12="да",C27*5,0))</f>
        <v>0</v>
      </c>
      <c r="D33" s="55" t="str">
        <f>IF(E33=0,"-","7,5x52")</f>
        <v>-</v>
      </c>
      <c r="E33" s="52">
        <f>IF(D$9=0,0,IF(D$12="да",E27*5,0))</f>
        <v>0</v>
      </c>
      <c r="F33" s="55" t="str">
        <f>IF(G33=0,"-","7,5x52")</f>
        <v>-</v>
      </c>
      <c r="G33" s="52">
        <f>IF(F$9=0,0,IF(F$12="да",G27*5,0))</f>
        <v>0</v>
      </c>
      <c r="H33" s="56" t="str">
        <f>IF(I33=0,"-","7,5x52")</f>
        <v>-</v>
      </c>
      <c r="I33" s="54">
        <f>IF(H$9=0,0,IF(H$12="да",I27*5,0))</f>
        <v>0</v>
      </c>
      <c r="K33" s="9"/>
    </row>
    <row r="34" spans="1:11" ht="16.5" customHeight="1" x14ac:dyDescent="0.25">
      <c r="A34" s="44" t="s">
        <v>51</v>
      </c>
      <c r="B34" s="55"/>
      <c r="C34" s="52">
        <f>C33</f>
        <v>0</v>
      </c>
      <c r="D34" s="55"/>
      <c r="E34" s="52">
        <f>E33</f>
        <v>0</v>
      </c>
      <c r="F34" s="55"/>
      <c r="G34" s="52">
        <f>G33</f>
        <v>0</v>
      </c>
      <c r="H34" s="56"/>
      <c r="I34" s="54">
        <f>I33</f>
        <v>0</v>
      </c>
      <c r="K34" s="9"/>
    </row>
    <row r="35" spans="1:11" ht="16.5" customHeight="1" x14ac:dyDescent="0.25">
      <c r="A35" s="44" t="s">
        <v>196</v>
      </c>
      <c r="B35" s="55" t="str">
        <f>IF(C35="инд. расчет","инд. расчет","")</f>
        <v/>
      </c>
      <c r="C35" s="52">
        <f>IF(OR(B6="Ламель Milan slim",B16="нет"),0,IF(AND(B16="да",B7&lt;=2),B9,ROUNDUP(B7/2*B9,0)))</f>
        <v>0</v>
      </c>
      <c r="D35" s="55" t="str">
        <f>IF(E35="инд. расчет","инд. расчет","")</f>
        <v/>
      </c>
      <c r="E35" s="52">
        <f>IF(OR(D6="Ламель Milan slim",D16="нет"),0,IF(AND(D16="да",D7&lt;=2),D9,ROUNDUP(D7/2*D9,0)))</f>
        <v>0</v>
      </c>
      <c r="F35" s="55" t="str">
        <f>IF(G35="инд. расчет","инд. расчет","")</f>
        <v/>
      </c>
      <c r="G35" s="52">
        <f>IF(OR(F6="Ламель Milan slim",F16="нет"),0,IF(AND(F16="да",F7&lt;=2),F9,ROUNDUP(F7/2*F9,0)))</f>
        <v>0</v>
      </c>
      <c r="H35" s="56" t="str">
        <f>IF(I35="инд. расчет","инд. расчет","")</f>
        <v/>
      </c>
      <c r="I35" s="54">
        <f>IF(OR(H6="Ламель Milan slim",H16="нет"),0,IF(AND(H16="да",H7&lt;=2),H9,ROUNDUP(H7/2*H9,0)))</f>
        <v>0</v>
      </c>
      <c r="J35" s="50"/>
      <c r="K35" s="9"/>
    </row>
    <row r="36" spans="1:11" ht="16.5" customHeight="1" x14ac:dyDescent="0.25">
      <c r="A36" s="44" t="s">
        <v>197</v>
      </c>
      <c r="B36" s="55" t="str">
        <f>IF(C36="инд. расчет","инд. расчет","")</f>
        <v/>
      </c>
      <c r="C36" s="52">
        <f>IF(OR(B6="Ламель Milan slim",B16="нет"),0,IF(AND(B16="да",B7&lt;=2),B9,ROUNDUP(B7/2*B9,0)))</f>
        <v>0</v>
      </c>
      <c r="D36" s="55" t="str">
        <f>IF(E36="инд. расчет","инд. расчет","")</f>
        <v/>
      </c>
      <c r="E36" s="52">
        <f>IF(OR(D6="Ламель Milan slim",D16="нет"),0,IF(AND(D16="да",D7&lt;=2),D9,ROUNDUP(D7/2*D9,0)))</f>
        <v>0</v>
      </c>
      <c r="F36" s="55" t="str">
        <f>IF(G36="инд. расчет","инд. расчет","")</f>
        <v/>
      </c>
      <c r="G36" s="52">
        <f>IF(OR(F6="Ламель Milan slim",F16="нет"),0,IF(AND(F16="да",F7&lt;=2),F9,ROUNDUP(F7/2*F9,0)))</f>
        <v>0</v>
      </c>
      <c r="H36" s="56" t="str">
        <f>IF(I36="инд. расчет","инд. расчет","")</f>
        <v/>
      </c>
      <c r="I36" s="54">
        <f>IF(OR(H6="Ламель Milan slim",H16="нет"),0,IF(AND(H16="да",H7&lt;=2),H9,ROUNDUP(H7/2*H9,0)))</f>
        <v>0</v>
      </c>
      <c r="J36" s="50"/>
      <c r="K36" s="9"/>
    </row>
    <row r="37" spans="1:11" ht="24" customHeight="1" x14ac:dyDescent="0.25">
      <c r="A37" s="44"/>
      <c r="B37" s="206" t="str">
        <f>IF(B16="нет","Крепежный вкладыш не применяется","")</f>
        <v/>
      </c>
      <c r="C37" s="207"/>
      <c r="D37" s="206" t="str">
        <f>IF(D16="нет","Крепежный вкладыш не применяется","")</f>
        <v>Крепежный вкладыш не применяется</v>
      </c>
      <c r="E37" s="207"/>
      <c r="F37" s="206" t="str">
        <f>IF(F16="нет","Крепежный вкладыш не применяется","")</f>
        <v>Крепежный вкладыш не применяется</v>
      </c>
      <c r="G37" s="207"/>
      <c r="H37" s="208" t="str">
        <f>IF(H16="нет","Крепежный вкладыш не применяется","")</f>
        <v>Крепежный вкладыш не применяется</v>
      </c>
      <c r="I37" s="209"/>
      <c r="J37" s="50"/>
      <c r="K37" s="9"/>
    </row>
    <row r="38" spans="1:11" ht="16.5" customHeight="1" x14ac:dyDescent="0.25">
      <c r="A38" s="71" t="s">
        <v>15</v>
      </c>
      <c r="B38" s="76"/>
      <c r="C38" s="77"/>
      <c r="D38" s="78"/>
      <c r="E38" s="79"/>
      <c r="F38" s="80"/>
      <c r="G38" s="77"/>
      <c r="H38" s="80"/>
      <c r="I38" s="76"/>
      <c r="K38" s="9"/>
    </row>
    <row r="39" spans="1:11" ht="16.5" customHeight="1" x14ac:dyDescent="0.25">
      <c r="A39" s="44" t="str">
        <f>IF(B13="нет","-",B13)</f>
        <v>-</v>
      </c>
      <c r="B39" s="57"/>
      <c r="C39" s="52">
        <f>IF($B$13&lt;&gt;"нет",1,0)</f>
        <v>0</v>
      </c>
      <c r="D39" s="58"/>
      <c r="E39" s="52"/>
      <c r="F39" s="58"/>
      <c r="G39" s="52"/>
      <c r="H39" s="58"/>
      <c r="I39" s="54"/>
      <c r="K39" s="9"/>
    </row>
    <row r="40" spans="1:11" ht="16.5" customHeight="1" x14ac:dyDescent="0.25">
      <c r="A40" s="44" t="str">
        <f>IF(D13="нет","-",D13)</f>
        <v>-</v>
      </c>
      <c r="B40" s="57"/>
      <c r="C40" s="52"/>
      <c r="D40" s="58"/>
      <c r="E40" s="52">
        <f>IF($D$13&lt;&gt;"нет",1,0)</f>
        <v>0</v>
      </c>
      <c r="F40" s="58"/>
      <c r="G40" s="52"/>
      <c r="H40" s="58"/>
      <c r="I40" s="54"/>
      <c r="K40" s="9"/>
    </row>
    <row r="41" spans="1:11" ht="16.5" customHeight="1" x14ac:dyDescent="0.25">
      <c r="A41" s="44" t="str">
        <f>IF(F13="нет","-",F13)</f>
        <v>-</v>
      </c>
      <c r="B41" s="57"/>
      <c r="C41" s="52"/>
      <c r="D41" s="58"/>
      <c r="E41" s="52"/>
      <c r="F41" s="58"/>
      <c r="G41" s="52">
        <f>IF($F$13&lt;&gt;"нет",1,0)</f>
        <v>0</v>
      </c>
      <c r="H41" s="58"/>
      <c r="I41" s="54"/>
      <c r="K41" s="9"/>
    </row>
    <row r="42" spans="1:11" ht="16.5" customHeight="1" x14ac:dyDescent="0.25">
      <c r="A42" s="44" t="str">
        <f>IF(H13="нет","-",H13)</f>
        <v>-</v>
      </c>
      <c r="B42" s="57"/>
      <c r="C42" s="52"/>
      <c r="D42" s="58"/>
      <c r="E42" s="52"/>
      <c r="F42" s="58"/>
      <c r="G42" s="52"/>
      <c r="H42" s="58"/>
      <c r="I42" s="54">
        <f>IF($H$13&lt;&gt;"нет",1,0)</f>
        <v>0</v>
      </c>
      <c r="K42" s="9"/>
    </row>
    <row r="43" spans="1:11" ht="16.5" customHeight="1" x14ac:dyDescent="0.25">
      <c r="A43" s="71" t="s">
        <v>18</v>
      </c>
      <c r="B43" s="76"/>
      <c r="C43" s="77"/>
      <c r="D43" s="78"/>
      <c r="E43" s="77"/>
      <c r="F43" s="80"/>
      <c r="G43" s="77"/>
      <c r="H43" s="80"/>
      <c r="I43" s="76"/>
      <c r="K43" s="9"/>
    </row>
    <row r="44" spans="1:11" ht="16.5" customHeight="1" x14ac:dyDescent="0.25">
      <c r="A44" s="44" t="str">
        <f>IF(B14="нет","-",B14)</f>
        <v>Откатные на кирпич столб 2,0х4,5</v>
      </c>
      <c r="B44" s="57"/>
      <c r="C44" s="52">
        <f>IF($B$14&lt;&gt;"нет",1,0)</f>
        <v>1</v>
      </c>
      <c r="D44" s="58"/>
      <c r="E44" s="52"/>
      <c r="F44" s="58"/>
      <c r="G44" s="52"/>
      <c r="H44" s="58"/>
      <c r="I44" s="54"/>
      <c r="K44" s="9"/>
    </row>
    <row r="45" spans="1:11" ht="16.5" customHeight="1" x14ac:dyDescent="0.25">
      <c r="A45" s="44" t="str">
        <f>IF(D14="нет","-",D14)</f>
        <v>-</v>
      </c>
      <c r="B45" s="57"/>
      <c r="C45" s="52"/>
      <c r="D45" s="58"/>
      <c r="E45" s="52">
        <f>IF($D$14&lt;&gt;"нет",1,0)</f>
        <v>0</v>
      </c>
      <c r="F45" s="58"/>
      <c r="G45" s="52"/>
      <c r="H45" s="58"/>
      <c r="I45" s="54"/>
      <c r="K45" s="9"/>
    </row>
    <row r="46" spans="1:11" ht="16.5" customHeight="1" x14ac:dyDescent="0.25">
      <c r="A46" s="44" t="str">
        <f>IF(F14="нет","-",F14)</f>
        <v>-</v>
      </c>
      <c r="B46" s="57"/>
      <c r="C46" s="52"/>
      <c r="D46" s="58"/>
      <c r="E46" s="52"/>
      <c r="F46" s="58"/>
      <c r="G46" s="52">
        <f>IF($F$14&lt;&gt;"нет",1,0)</f>
        <v>0</v>
      </c>
      <c r="H46" s="58"/>
      <c r="I46" s="54"/>
      <c r="K46" s="9"/>
    </row>
    <row r="47" spans="1:11" ht="16.5" customHeight="1" x14ac:dyDescent="0.25">
      <c r="A47" s="44" t="str">
        <f>IF(H14="нет","-",H14)</f>
        <v>-</v>
      </c>
      <c r="B47" s="57"/>
      <c r="C47" s="52"/>
      <c r="D47" s="58"/>
      <c r="E47" s="52"/>
      <c r="F47" s="58"/>
      <c r="G47" s="52"/>
      <c r="H47" s="58"/>
      <c r="I47" s="54">
        <f>IF($H$14&lt;&gt;"нет",1,0)</f>
        <v>0</v>
      </c>
      <c r="K47" s="9"/>
    </row>
    <row r="48" spans="1:11" ht="16.5" customHeight="1" x14ac:dyDescent="0.25">
      <c r="A48" s="71" t="s">
        <v>38</v>
      </c>
      <c r="B48" s="76"/>
      <c r="C48" s="77"/>
      <c r="D48" s="81"/>
      <c r="E48" s="82"/>
      <c r="F48" s="80"/>
      <c r="G48" s="77"/>
      <c r="H48" s="80"/>
      <c r="I48" s="76"/>
      <c r="K48" s="11"/>
    </row>
    <row r="49" spans="1:30" ht="16.5" customHeight="1" x14ac:dyDescent="0.25">
      <c r="A49" s="44" t="str">
        <f>B6</f>
        <v>Ламель Milan</v>
      </c>
      <c r="B49" s="51" t="str">
        <f>IF(VLOOKUP(B13,Данные1!$A$35:$M$40,4,FALSE)="-","-",VLOOKUP(B13,Данные1!$A$35:$M$40,4,FALSE)+0.03)</f>
        <v>-</v>
      </c>
      <c r="C49" s="52">
        <f>VLOOKUP(B13,Данные1!$A$35:$M$40,2,FALSE)</f>
        <v>0</v>
      </c>
      <c r="D49" s="51" t="str">
        <f>IF(VLOOKUP(D13,Данные1!$A$35:$M$40,4,FALSE)="-","-",VLOOKUP(D13,Данные1!$A$35:$M$40,4,FALSE)+0.03)</f>
        <v>-</v>
      </c>
      <c r="E49" s="52">
        <f>VLOOKUP(D13,Данные1!$A$35:$M$40,2,FALSE)</f>
        <v>0</v>
      </c>
      <c r="F49" s="51" t="str">
        <f>IF(VLOOKUP(F13,Данные1!$A$35:$M$40,4,FALSE)="-","-",VLOOKUP(F13,Данные1!$A$35:$M$40,4,FALSE)+0.03)</f>
        <v>-</v>
      </c>
      <c r="G49" s="52">
        <f>VLOOKUP(F13,Данные1!$A$35:$M$40,2,FALSE)</f>
        <v>0</v>
      </c>
      <c r="H49" s="51" t="str">
        <f>IF(VLOOKUP(H13,Данные1!$A$35:$M$40,4,FALSE)="-","-",VLOOKUP(H13,Данные1!$A$35:$M$40,4,FALSE)+0.03)</f>
        <v>-</v>
      </c>
      <c r="I49" s="54">
        <f>VLOOKUP(H13,Данные1!$A$35:$M$40,2,FALSE)</f>
        <v>0</v>
      </c>
      <c r="K49" s="11"/>
    </row>
    <row r="50" spans="1:30" ht="16.5" customHeight="1" x14ac:dyDescent="0.25">
      <c r="A50" s="44" t="str">
        <f>IF(B6="Ламель Milan slim","Стойка slim","Стойка")</f>
        <v>Стойка</v>
      </c>
      <c r="B50" s="51" t="str">
        <f>IF(AND(VLOOKUP(B13,Данные1!$A$35:$M$40,6,FALSE)&gt;=0.1,VLOOKUP(B13,Данные1!$A$35:$M$40,6,FALSE)&lt;=1.8),1.8,IF(AND(VLOOKUP(B13,Данные1!$A$35:$M$40,6,FALSE)&gt;1.8,VLOOKUP(B13,Данные1!$A$35:$M$40,6,FALSE)&lt;=2),2,IF(AND(VLOOKUP(B13,Данные1!$A$35:$M$40,6,FALSE)&gt;2,VLOOKUP(B13,Данные1!$A$35:$M$40,6,FALSE)&lt;=2.5),2.5,IF(AND(VLOOKUP(B13,Данные1!$A$35:$M$40,6,FALSE)&gt;2.5,VLOOKUP(B13,Данные1!$A$35:$M$40,6,FALSE)&lt;=3),3,"-"))))</f>
        <v>-</v>
      </c>
      <c r="C50" s="59">
        <f>VLOOKUP(B13,Данные1!$A$35:$M$40,5,FALSE)</f>
        <v>0</v>
      </c>
      <c r="D50" s="51" t="str">
        <f>IF(AND(VLOOKUP(D13,Данные1!$A$35:$M$40,6,FALSE)&gt;=0.1,VLOOKUP(D13,Данные1!$A$35:$M$40,6,FALSE)&lt;=1.8),1.8,IF(AND(VLOOKUP(D13,Данные1!$A$35:$M$40,6,FALSE)&gt;1.8,VLOOKUP(D13,Данные1!$A$35:$M$40,6,FALSE)&lt;=2),2,IF(AND(VLOOKUP(D13,Данные1!$A$35:$M$40,6,FALSE)&gt;2,VLOOKUP(D13,Данные1!$A$35:$M$40,6,FALSE)&lt;=2.5),2.5,IF(AND(VLOOKUP(D13,Данные1!$A$35:$M$40,6,FALSE)&gt;2.5,VLOOKUP(D13,Данные1!$A$35:$M$40,6,FALSE)&lt;=3),3,"-"))))</f>
        <v>-</v>
      </c>
      <c r="E50" s="59">
        <f>VLOOKUP(D13,Данные1!$A$35:$M$40,5,FALSE)</f>
        <v>0</v>
      </c>
      <c r="F50" s="51" t="str">
        <f>IF(AND(VLOOKUP(F13,Данные1!$A$35:$M$40,6,FALSE)&gt;=0.1,VLOOKUP(F13,Данные1!$A$35:$M$40,6,FALSE)&lt;=1.8),1.8,IF(AND(VLOOKUP(F13,Данные1!$A$35:$M$40,6,FALSE)&gt;1.8,VLOOKUP(F13,Данные1!$A$35:$M$40,6,FALSE)&lt;=2),2,IF(AND(VLOOKUP(F13,Данные1!$A$35:$M$40,6,FALSE)&gt;2,VLOOKUP(F13,Данные1!$A$35:$M$40,6,FALSE)&lt;=2.5),2.5,IF(AND(VLOOKUP(F13,Данные1!$A$35:$M$40,6,FALSE)&gt;2.5,VLOOKUP(F13,Данные1!$A$35:$M$40,6,FALSE)&lt;=3),3,"-"))))</f>
        <v>-</v>
      </c>
      <c r="G50" s="59">
        <f>VLOOKUP(F13,Данные1!$A$35:$M$40,5,FALSE)</f>
        <v>0</v>
      </c>
      <c r="H50" s="51" t="str">
        <f>IF(AND(VLOOKUP(H13,Данные1!$A$35:$M$40,6,FALSE)&gt;=0.1,VLOOKUP(H13,Данные1!$A$35:$M$40,6,FALSE)&lt;=1.8),1.8,IF(AND(VLOOKUP(H13,Данные1!$A$35:$M$40,6,FALSE)&gt;1.8,VLOOKUP(H13,Данные1!$A$35:$M$40,6,FALSE)&lt;=2),2,IF(AND(VLOOKUP(H13,Данные1!$A$35:$M$40,6,FALSE)&gt;2,VLOOKUP(H13,Данные1!$A$35:$M$40,6,FALSE)&lt;=2.5),2.5,IF(AND(VLOOKUP(H13,Данные1!$A$35:$M$40,6,FALSE)&gt;2.5,VLOOKUP(H13,Данные1!$A$35:$M$40,6,FALSE)&lt;=3),3,"-"))))</f>
        <v>-</v>
      </c>
      <c r="I50" s="51">
        <f>VLOOKUP(H13,Данные1!$A$35:$M$40,5,FALSE)</f>
        <v>0</v>
      </c>
      <c r="K50" s="11"/>
    </row>
    <row r="51" spans="1:30" ht="16.5" customHeight="1" x14ac:dyDescent="0.25">
      <c r="A51" s="44" t="str">
        <f>IF(B6="Ламель Milan slim","Крышка slim","Крышка для калиток и ворот ")</f>
        <v xml:space="preserve">Крышка для калиток и ворот </v>
      </c>
      <c r="B51" s="51" t="str">
        <f>IF(AND(VLOOKUP(B13,Данные1!$A$35:$M$40,8,FALSE)&gt;=0.5, VLOOKUP(B13,Данные1!$A$35:$M$40,8,FALSE)&lt;=2), 2, IF(AND(VLOOKUP(B13,Данные1!$A$35:$M$40,8,FALSE)&gt;2, VLOOKUP(B13,Данные1!$A$35:$M$40,8,FALSE)&lt;=2.5), 2.5, IF(AND(VLOOKUP(B13,Данные1!$A$35:$M$40,8,FALSE)&gt;2.5, VLOOKUP(B13,Данные1!$A$35:$M$40,8,FALSE)&lt;=3), 3,"-")))</f>
        <v>-</v>
      </c>
      <c r="C51" s="59">
        <f>VLOOKUP(B13,Данные1!$A$35:$M$40,7,FALSE)</f>
        <v>0</v>
      </c>
      <c r="D51" s="51" t="str">
        <f>IF(AND(VLOOKUP(D13,Данные1!$A$35:$M$40,8,FALSE)&gt;=0.5, VLOOKUP(D13,Данные1!$A$35:$M$40,8,FALSE)&lt;=2), 2, IF(AND(VLOOKUP(D13,Данные1!$A$35:$M$40,8,FALSE)&gt;2, VLOOKUP(D13,Данные1!$A$35:$M$40,8,FALSE)&lt;=2.5), 2.5, IF(AND(VLOOKUP(D13,Данные1!$A$35:$M$40,8,FALSE)&gt;2.5, VLOOKUP(D13,Данные1!$A$35:$M$40,8,FALSE)&lt;=3), 3,"-")))</f>
        <v>-</v>
      </c>
      <c r="E51" s="59">
        <f>VLOOKUP(D13,Данные1!$A$35:$M$40,7,FALSE)</f>
        <v>0</v>
      </c>
      <c r="F51" s="51" t="str">
        <f>IF(AND(VLOOKUP(F13,Данные1!$A$35:$M$40,8,FALSE)&gt;=0.5, VLOOKUP(F13,Данные1!$A$35:$M$40,8,FALSE)&lt;=2), 2, IF(AND(VLOOKUP(F13,Данные1!$A$35:$M$40,8,FALSE)&gt;2, VLOOKUP(F13,Данные1!$A$35:$M$40,8,FALSE)&lt;=2.5), 2.5, IF(AND(VLOOKUP(F13,Данные1!$A$35:$M$40,8,FALSE)&gt;2.5, VLOOKUP(F13,Данные1!$A$35:$M$40,8,FALSE)&lt;=3), 3,"-")))</f>
        <v>-</v>
      </c>
      <c r="G51" s="59">
        <f>VLOOKUP(F13,Данные1!$A$35:$M$40,7,FALSE)</f>
        <v>0</v>
      </c>
      <c r="H51" s="51" t="str">
        <f>IF(AND(VLOOKUP(H13,Данные1!$A$35:$M$40,8,FALSE)&gt;=0.5, VLOOKUP(H13,Данные1!$A$35:$M$40,8,FALSE)&lt;=2), 2, IF(AND(VLOOKUP(H13,Данные1!$A$35:$M$40,8,FALSE)&gt;2, VLOOKUP(H13,Данные1!$A$35:$M$40,8,FALSE)&lt;=2.5), 2.5, IF(AND(VLOOKUP(H13,Данные1!$A$35:$M$40,8,FALSE)&gt;2.5, VLOOKUP(H13,Данные1!$A$35:$M$40,8,FALSE)&lt;=3), 3,"-")))</f>
        <v>-</v>
      </c>
      <c r="I51" s="51">
        <f>VLOOKUP(H13,Данные1!$A$35:$M$40,7,FALSE)</f>
        <v>0</v>
      </c>
      <c r="K51" s="11"/>
    </row>
    <row r="52" spans="1:30" ht="16.5" customHeight="1" x14ac:dyDescent="0.25">
      <c r="A52" s="44" t="s">
        <v>12</v>
      </c>
      <c r="B52" s="51" t="str">
        <f>IF(C52=0,"-","5,5х19")</f>
        <v>-</v>
      </c>
      <c r="C52" s="52">
        <f>IF(C49=0,0,8+(SUM(C54:C56)*4))</f>
        <v>0</v>
      </c>
      <c r="D52" s="51" t="str">
        <f>IF(E52=0,"-","5,5х19")</f>
        <v>-</v>
      </c>
      <c r="E52" s="52">
        <f>IF(E49=0,0,8+(SUM(E54:E56)*4))</f>
        <v>0</v>
      </c>
      <c r="F52" s="51" t="str">
        <f>IF(G52=0,"-","5,5х19")</f>
        <v>-</v>
      </c>
      <c r="G52" s="52">
        <f>IF(G49=0,0,8+(SUM(G54:G56)*4))</f>
        <v>0</v>
      </c>
      <c r="H52" s="51" t="str">
        <f>IF(I52=0,"-","5,5х19")</f>
        <v>-</v>
      </c>
      <c r="I52" s="51">
        <f>IF(I49=0,0,8+(SUM(I54:I56)*4))</f>
        <v>0</v>
      </c>
      <c r="K52" s="11"/>
    </row>
    <row r="53" spans="1:30" ht="16.5" customHeight="1" x14ac:dyDescent="0.25">
      <c r="A53" s="44" t="s">
        <v>13</v>
      </c>
      <c r="B53" s="55" t="str">
        <f>IF(C53=0,"-","4,2x16")</f>
        <v>-</v>
      </c>
      <c r="C53" s="52">
        <f>IF(C49=0,0,IF(B16="нет",C49*4+4,4))</f>
        <v>0</v>
      </c>
      <c r="D53" s="55" t="str">
        <f>IF(E53=0,"-","4,2x16")</f>
        <v>-</v>
      </c>
      <c r="E53" s="52">
        <f>IF(E49=0,0,IF(D16="нет",E49*4+4,4))</f>
        <v>0</v>
      </c>
      <c r="F53" s="55" t="str">
        <f>IF(G53=0,"-","4,2x16")</f>
        <v>-</v>
      </c>
      <c r="G53" s="52">
        <f>IF(G49=0,0,IF(F16="нет",G49*4+4,4))</f>
        <v>0</v>
      </c>
      <c r="H53" s="55" t="str">
        <f>IF(I53=0,"-","4,2x16")</f>
        <v>-</v>
      </c>
      <c r="I53" s="51">
        <f>IF(I49=0,0,IF(H16="нет",I49*4+4,4))</f>
        <v>0</v>
      </c>
      <c r="K53" s="11"/>
    </row>
    <row r="54" spans="1:30" ht="16.5" customHeight="1" x14ac:dyDescent="0.25">
      <c r="A54" s="38" t="s">
        <v>45</v>
      </c>
      <c r="B54" s="51" t="s">
        <v>10</v>
      </c>
      <c r="C54" s="52">
        <f>VLOOKUP(B13,Данные1!$A$35:$M$40,9,FALSE)</f>
        <v>0</v>
      </c>
      <c r="D54" s="53" t="s">
        <v>10</v>
      </c>
      <c r="E54" s="52">
        <f>VLOOKUP(D13,Данные1!$A$35:$M$40,9,FALSE)</f>
        <v>0</v>
      </c>
      <c r="F54" s="53" t="s">
        <v>10</v>
      </c>
      <c r="G54" s="52">
        <f>VLOOKUP(F13,Данные1!$A$35:$M$40,9,FALSE)</f>
        <v>0</v>
      </c>
      <c r="H54" s="53" t="s">
        <v>10</v>
      </c>
      <c r="I54" s="54">
        <f>VLOOKUP(H13,Данные1!$A$35:$M$40,9,FALSE)</f>
        <v>0</v>
      </c>
      <c r="K54" s="11"/>
    </row>
    <row r="55" spans="1:30" ht="16.5" customHeight="1" x14ac:dyDescent="0.25">
      <c r="A55" s="38" t="s">
        <v>47</v>
      </c>
      <c r="B55" s="51" t="s">
        <v>10</v>
      </c>
      <c r="C55" s="52">
        <f>VLOOKUP(B13,Данные1!$A$35:$M$40,10,FALSE)</f>
        <v>0</v>
      </c>
      <c r="D55" s="53" t="s">
        <v>10</v>
      </c>
      <c r="E55" s="52">
        <f>VLOOKUP(D13,Данные1!$A$35:$M$40,10,FALSE)</f>
        <v>0</v>
      </c>
      <c r="F55" s="53" t="s">
        <v>10</v>
      </c>
      <c r="G55" s="52">
        <f>VLOOKUP(F13,Данные1!$A$35:$M$40,10,FALSE)</f>
        <v>0</v>
      </c>
      <c r="H55" s="53" t="s">
        <v>10</v>
      </c>
      <c r="I55" s="54">
        <f>VLOOKUP(H13,Данные1!$A$35:$M$40,10,FALSE)</f>
        <v>0</v>
      </c>
      <c r="K55" s="11"/>
    </row>
    <row r="56" spans="1:30" ht="16.5" customHeight="1" x14ac:dyDescent="0.25">
      <c r="A56" s="38" t="s">
        <v>193</v>
      </c>
      <c r="B56" s="51" t="s">
        <v>10</v>
      </c>
      <c r="C56" s="52">
        <f>VLOOKUP(B13,Данные1!$A$35:$M$40,11,FALSE)</f>
        <v>0</v>
      </c>
      <c r="D56" s="53" t="s">
        <v>10</v>
      </c>
      <c r="E56" s="52">
        <f>VLOOKUP(D13,Данные1!$A$35:$M$40,11,FALSE)</f>
        <v>0</v>
      </c>
      <c r="F56" s="53" t="s">
        <v>10</v>
      </c>
      <c r="G56" s="52">
        <f>VLOOKUP(F13,Данные1!$A$35:$M$40,11,FALSE)</f>
        <v>0</v>
      </c>
      <c r="H56" s="53" t="s">
        <v>10</v>
      </c>
      <c r="I56" s="54">
        <f>VLOOKUP(H13,Данные1!$A$35:$M$40,11,FALSE)</f>
        <v>0</v>
      </c>
      <c r="K56" s="11"/>
    </row>
    <row r="57" spans="1:30" ht="16.5" customHeight="1" x14ac:dyDescent="0.25">
      <c r="A57" s="44" t="s">
        <v>196</v>
      </c>
      <c r="B57" s="51" t="str">
        <f>IF(C57="инд. расчет","инд. расчет","")</f>
        <v/>
      </c>
      <c r="C57" s="52">
        <f>IF(OR(B6="Ламель Milan slim",B16="нет",B13="нет"),0,IF(AND(B16="да",C39=1,VLOOKUP(B13,Данные1!$A$36:$N$40,14,FALSE)&lt;=2),1,"инд. расчет"))</f>
        <v>0</v>
      </c>
      <c r="D57" s="51" t="str">
        <f>IF(E57="инд. расчет","инд. расчет","")</f>
        <v/>
      </c>
      <c r="E57" s="52">
        <f>IF(OR(B6="Ламель Milan slim",D16="нет",D13="нет"),0,IF(AND(D16="да",E40=1,VLOOKUP(D13,Данные1!$A$36:$N$40,14,FALSE)&lt;=2),1,"инд. расчет"))</f>
        <v>0</v>
      </c>
      <c r="F57" s="51" t="str">
        <f>IF(G57="инд. расчет","инд. расчет","")</f>
        <v/>
      </c>
      <c r="G57" s="52">
        <f>IF(OR(B6="Ламель Milan slim",F16="нет",F13="нет"),0,IF(AND(F16="да",G41=1,VLOOKUP(F13,Данные1!$A$36:$N$40,14,FALSE)&lt;=2),1,"инд. расчет"))</f>
        <v>0</v>
      </c>
      <c r="H57" s="51" t="str">
        <f>IF(I57="инд. расчет","инд. расчет","")</f>
        <v/>
      </c>
      <c r="I57" s="54">
        <f>IF(OR(B6="Ламель Milan slim",H16="нет",H13="нет"),0,IF(AND(H16="да",I42=1,VLOOKUP(H13,Данные1!$A$36:$N$40,14,FALSE)&lt;=2),1,"инд. расчет"))</f>
        <v>0</v>
      </c>
      <c r="K57" s="11"/>
    </row>
    <row r="58" spans="1:30" ht="16.5" customHeight="1" x14ac:dyDescent="0.25">
      <c r="A58" s="44" t="s">
        <v>197</v>
      </c>
      <c r="B58" s="51" t="str">
        <f>IF(C58="инд. расчет","инд. расчет","")</f>
        <v/>
      </c>
      <c r="C58" s="52">
        <f>IF(OR(B6="Ламель Milan slim",B16="нет",B13="нет"),0,IF(AND(B16="да",C39=1,VLOOKUP(B13,Данные1!$A$36:$N$40,14,FALSE)&lt;=2),1,"инд. расчет"))</f>
        <v>0</v>
      </c>
      <c r="D58" s="51" t="str">
        <f>IF(E58="инд. расчет","инд. расчет","")</f>
        <v/>
      </c>
      <c r="E58" s="52">
        <f>IF(OR(B6="Ламель Milan slim",D16="нет",D13="нет"),0,IF(AND(D16="да",E40=1,VLOOKUP(D13,Данные1!$A$36:$N$40,14,FALSE)&lt;=2),1,"инд. расчет"))</f>
        <v>0</v>
      </c>
      <c r="F58" s="51" t="str">
        <f>IF(G58="инд. расчет","инд. расчет","")</f>
        <v/>
      </c>
      <c r="G58" s="52">
        <f>IF(OR(B6="Ламель Milan slim",F16="нет",F13="нет"),0,IF(AND(F16="да",G41=1,VLOOKUP(F13,Данные1!$A$36:$N$40,14,FALSE)&lt;=2),1,"инд. расчет"))</f>
        <v>0</v>
      </c>
      <c r="H58" s="51" t="str">
        <f>IF(I58="инд. расчет","инд. расчет","")</f>
        <v/>
      </c>
      <c r="I58" s="54">
        <f>IF(OR(B6="Ламель Milan slim",H16="нет",H13="нет"),0,IF(AND(H16="да",I42=1,VLOOKUP(H13,Данные1!$A$36:$N$40,14,FALSE)&lt;=2),1,"инд. расчет"))</f>
        <v>0</v>
      </c>
      <c r="K58" s="11"/>
    </row>
    <row r="59" spans="1:30" ht="16.5" customHeight="1" x14ac:dyDescent="0.25">
      <c r="A59" s="71" t="s">
        <v>48</v>
      </c>
      <c r="B59" s="76"/>
      <c r="C59" s="77"/>
      <c r="D59" s="80"/>
      <c r="E59" s="77"/>
      <c r="F59" s="80"/>
      <c r="G59" s="77"/>
      <c r="H59" s="80"/>
      <c r="I59" s="76"/>
      <c r="K59" s="11"/>
    </row>
    <row r="60" spans="1:30" ht="16.5" customHeight="1" x14ac:dyDescent="0.25">
      <c r="A60" s="44" t="str">
        <f>B6</f>
        <v>Ламель Milan</v>
      </c>
      <c r="B60" s="51">
        <f>IF(C60=0,"-",VLOOKUP(B14,Данные1!$A$42:$M$65,4,FALSE)+0.03)</f>
        <v>2.13</v>
      </c>
      <c r="C60" s="52">
        <f>VLOOKUP(B14,Данные1!$A$42:$M$65,2,FALSE)</f>
        <v>30</v>
      </c>
      <c r="D60" s="51" t="str">
        <f>IF(E60=0,"-",VLOOKUP(D14,Данные1!$A$42:$M$65,4,FALSE)+0.03)</f>
        <v>-</v>
      </c>
      <c r="E60" s="52">
        <f>VLOOKUP(D14,Данные1!$A$42:$M$65,2,FALSE)</f>
        <v>0</v>
      </c>
      <c r="F60" s="51" t="str">
        <f>IF(G60=0,"-",VLOOKUP(F14,Данные1!$A$42:$M$65,4,FALSE)+0.03)</f>
        <v>-</v>
      </c>
      <c r="G60" s="52">
        <f>VLOOKUP(F14,Данные1!$A$42:$M$65,2,FALSE)</f>
        <v>0</v>
      </c>
      <c r="H60" s="51" t="str">
        <f>IF(I60=0,"-",VLOOKUP(H14,Данные1!$A$42:$M$65,4,FALSE)+0.03)</f>
        <v>-</v>
      </c>
      <c r="I60" s="54">
        <f>VLOOKUP(H14,Данные1!$A$42:$M$65,2,FALSE)</f>
        <v>0</v>
      </c>
      <c r="K60" s="11"/>
    </row>
    <row r="61" spans="1:30" ht="16.5" customHeight="1" x14ac:dyDescent="0.25">
      <c r="A61" s="44" t="str">
        <f>B6</f>
        <v>Ламель Milan</v>
      </c>
      <c r="B61" s="51" t="str">
        <f>IF(C61=0,"-",VLOOKUP(B14,Данные1!$A$42:$R$65,16,FALSE)+0.03)</f>
        <v>-</v>
      </c>
      <c r="C61" s="52">
        <f>VLOOKUP(B14,Данные1!$A$42:$R$65,14,FALSE)</f>
        <v>0</v>
      </c>
      <c r="D61" s="51" t="str">
        <f>IF(E61=0,"-",VLOOKUP(D14,Данные1!$A$42:$R$65,16,FALSE)+0.03)</f>
        <v>-</v>
      </c>
      <c r="E61" s="52">
        <f>VLOOKUP(D14,Данные1!$A$42:$R$65,14,FALSE)</f>
        <v>0</v>
      </c>
      <c r="F61" s="51" t="str">
        <f>IF(G61=0,"-",VLOOKUP(F14,Данные1!$A$42:$R$65,16,FALSE)+0.03)</f>
        <v>-</v>
      </c>
      <c r="G61" s="52">
        <f>VLOOKUP(F14,Данные1!$A$42:$R$65,14,FALSE)</f>
        <v>0</v>
      </c>
      <c r="H61" s="51" t="str">
        <f>IF(I61=0,"-",VLOOKUP(H14,Данные1!$A$42:$R$65,16,FALSE)+0.03)</f>
        <v>-</v>
      </c>
      <c r="I61" s="54">
        <f>VLOOKUP(H14,Данные1!$A$42:$R$65,14,FALSE)</f>
        <v>0</v>
      </c>
      <c r="K61" s="11"/>
    </row>
    <row r="62" spans="1:30" ht="16.5" customHeight="1" x14ac:dyDescent="0.25">
      <c r="A62" s="44" t="str">
        <f>IF(B6="Ламель Milan slim","Стойка slim","Стойка")</f>
        <v>Стойка</v>
      </c>
      <c r="B62" s="51">
        <f>IF(B14="нет","-",IF(AND(VLOOKUP(B14,Данные1!$A$42:$M$65,6,FALSE)&gt;=0.1, VLOOKUP(B14,Данные1!$A$42:$M$65,6,FALSE)&lt;=1.8), 1.8, IF(AND(VLOOKUP(B14,Данные1!$A$42:$M$65,6,FALSE)&gt;1.8, VLOOKUP(B14,Данные1!$A$42:$M$65,6,FALSE)&lt;=2), 2, IF(AND(VLOOKUP(B14,Данные1!$A$42:$M$65,6,FALSE)&gt;2, VLOOKUP(B14,Данные1!$A$42:$M$65,6,FALSE)&lt;=2.5), 2.5, IF(AND(VLOOKUP(B14,Данные1!$A$42:$M$65,6,FALSE)&gt;2.5, VLOOKUP(B14,Данные1!$A$42:$M$65,6,FALSE)&lt;=3), 3, "-")))))</f>
        <v>1.8</v>
      </c>
      <c r="C62" s="52">
        <f>VLOOKUP(B14,Данные1!$A$42:$M$65,5,FALSE)</f>
        <v>4</v>
      </c>
      <c r="D62" s="51" t="str">
        <f>IF(D14="нет","-",IF(AND(VLOOKUP(D14,Данные1!$A$42:$M$65,6,FALSE)&gt;=0.1, VLOOKUP(D14,Данные1!$A$42:$M$65,6,FALSE)&lt;=1.8), 1.8, IF(AND(VLOOKUP(D14,Данные1!$A$42:$M$65,6,FALSE)&gt;1.8, VLOOKUP(D14,Данные1!$A$42:$M$65,6,FALSE)&lt;=2), 2, IF(AND(VLOOKUP(D14,Данные1!$A$42:$M$65,6,FALSE)&gt;2, VLOOKUP(D14,Данные1!$A$42:$M$65,6,FALSE)&lt;=2.5), 2.5, IF(AND(VLOOKUP(D14,Данные1!$A$42:$M$65,6,FALSE)&gt;2.5, VLOOKUP(D14,Данные1!$A$42:$M$65,6,FALSE)&lt;=3), 3, "-")))))</f>
        <v>-</v>
      </c>
      <c r="E62" s="52">
        <f>VLOOKUP(D14,Данные1!$A$42:$M$65,5,FALSE)</f>
        <v>0</v>
      </c>
      <c r="F62" s="51" t="str">
        <f>IF(F14="нет","-",IF(AND(VLOOKUP(F14,Данные1!$A$42:$M$65,6,FALSE)&gt;=0.1, VLOOKUP(F14,Данные1!$A$42:$M$65,6,FALSE)&lt;=1.8), 1.8, IF(AND(VLOOKUP(F14,Данные1!$A$42:$M$65,6,FALSE)&gt;1.8, VLOOKUP(F14,Данные1!$A$42:$M$65,6,FALSE)&lt;=2), 2, IF(AND(VLOOKUP(F14,Данные1!$A$42:$M$65,6,FALSE)&gt;2, VLOOKUP(F14,Данные1!$A$42:$M$65,6,FALSE)&lt;=2.5), 2.5, IF(AND(VLOOKUP(F14,Данные1!$A$42:$M$65,6,FALSE)&gt;2.5, VLOOKUP(F14,Данные1!$A$42:$M$65,6,FALSE)&lt;=3), 3, "-")))))</f>
        <v>-</v>
      </c>
      <c r="G62" s="52">
        <f>VLOOKUP(F14,Данные1!$A$42:$M$65,5,FALSE)</f>
        <v>0</v>
      </c>
      <c r="H62" s="51" t="str">
        <f>IF(H14="нет","-",IF(AND(VLOOKUP(H14,Данные1!$A$42:$M$65,6,FALSE)&gt;=0.1, VLOOKUP(H14,Данные1!$A$42:$M$65,6,FALSE)&lt;=1.8), 1.8, IF(AND(VLOOKUP(H14,Данные1!$A$42:$M$65,6,FALSE)&gt;1.8, VLOOKUP(H14,Данные1!$A$42:$M$65,6,FALSE)&lt;=2), 2, IF(AND(VLOOKUP(H14,Данные1!$A$42:$M$65,6,FALSE)&gt;2, VLOOKUP(H14,Данные1!$A$42:$M$65,6,FALSE)&lt;=2.5), 2.5, IF(AND(VLOOKUP(H14,Данные1!$A$42:$M$65,6,FALSE)&gt;2.5, VLOOKUP(H14,Данные1!$A$42:$M$65,6,FALSE)&lt;=3), 3, "-")))))</f>
        <v>-</v>
      </c>
      <c r="I62" s="54">
        <f>VLOOKUP(H14,Данные1!$A$42:$M$65,5,FALSE)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3"/>
      <c r="AA62" s="11"/>
      <c r="AB62" s="14"/>
      <c r="AC62" s="14"/>
      <c r="AD62" s="14"/>
    </row>
    <row r="63" spans="1:30" ht="16.5" customHeight="1" x14ac:dyDescent="0.25">
      <c r="A63" s="44" t="str">
        <f>IF(B6="Ламель Milan slim","Крышка slim","Крышка для калиток и ворот")</f>
        <v>Крышка для калиток и ворот</v>
      </c>
      <c r="B63" s="51">
        <f>IF(AND(VLOOKUP(B14,Данные1!$A$42:$M$65,8,FALSE)&gt;=0.5, VLOOKUP(B14,Данные1!$A$42:$M$65,8,FALSE)&lt;=2), 2, IF(AND(VLOOKUP(B14,Данные1!$A$42:$M$65,8,FALSE)&gt;2, VLOOKUP(B14,Данные1!$A$42:$M$65,8,FALSE)&lt;=2.5), 2.5, IF(AND(VLOOKUP(B14,Данные1!$A$42:$M$65,8,FALSE)&gt;2.5, VLOOKUP(B14,Данные1!$A$42:$M$65,8,FALSE)&lt;=3), 3,"-")))</f>
        <v>2.5</v>
      </c>
      <c r="C63" s="52">
        <f>VLOOKUP(B14,Данные1!$A$42:$M$65,7,FALSE)</f>
        <v>2</v>
      </c>
      <c r="D63" s="51" t="str">
        <f>IF(AND(VLOOKUP(D14,Данные1!$A$42:$M$65,8,FALSE)&gt;=0.5, VLOOKUP(D14,Данные1!$A$42:$M$65,8,FALSE)&lt;=2), 2, IF(AND(VLOOKUP(D14,Данные1!$A$42:$M$65,8,FALSE)&gt;2, VLOOKUP(D14,Данные1!$A$42:$M$65,8,FALSE)&lt;=2.5), 2.5, IF(AND(VLOOKUP(D14,Данные1!$A$42:$M$65,8,FALSE)&gt;2.5, VLOOKUP(D14,Данные1!$A$42:$M$65,8,FALSE)&lt;=3), 3,"-")))</f>
        <v>-</v>
      </c>
      <c r="E63" s="52">
        <f>VLOOKUP(D14,Данные1!$A$42:$M$65,7,FALSE)</f>
        <v>0</v>
      </c>
      <c r="F63" s="51" t="str">
        <f>IF(AND(VLOOKUP(F14,Данные1!$A$42:$M$65,8,FALSE)&gt;=0.5, VLOOKUP(F14,Данные1!$A$42:$M$65,8,FALSE)&lt;=2), 2, IF(AND(VLOOKUP(F14,Данные1!$A$42:$M$65,8,FALSE)&gt;2, VLOOKUP(F14,Данные1!$A$42:$M$65,8,FALSE)&lt;=2.5), 2.5, IF(AND(VLOOKUP(F14,Данные1!$A$42:$M$65,8,FALSE)&gt;2.5, VLOOKUP(F14,Данные1!$A$42:$M$65,8,FALSE)&lt;=3), 3,"-")))</f>
        <v>-</v>
      </c>
      <c r="G63" s="52">
        <f>VLOOKUP(F14,Данные1!$A$42:$M$65,7,FALSE)</f>
        <v>0</v>
      </c>
      <c r="H63" s="51" t="str">
        <f>IF(AND(VLOOKUP(H14,Данные1!$A$42:$M$65,8,FALSE)&gt;=0.5, VLOOKUP(H14,Данные1!$A$42:$M$65,8,FALSE)&lt;=2), 2, IF(AND(VLOOKUP(H14,Данные1!$A$42:$M$65,8,FALSE)&gt;2, VLOOKUP(H14,Данные1!$A$42:$M$65,8,FALSE)&lt;=2.5), 2.5, IF(AND(VLOOKUP(H14,Данные1!$A$42:$M$65,8,FALSE)&gt;2.5, VLOOKUP(H14,Данные1!$A$42:$M$65,8,FALSE)&lt;=3), 3,"-")))</f>
        <v>-</v>
      </c>
      <c r="I63" s="54">
        <f>VLOOKUP(H14,Данные1!$A$42:$M$65,7,FALSE)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5">
      <c r="A64" s="44" t="str">
        <f>IF(B6="Ламель Milan slim","Крышка slim","Крышка для калиток и ворот")</f>
        <v>Крышка для калиток и ворот</v>
      </c>
      <c r="B64" s="51" t="str">
        <f>IF(C64=0,"-",IF(AND(VLOOKUP(B14,Данные1!$A$42:$R$65,18,FALSE)&gt;=0.5, VLOOKUP(B14,Данные1!$A$42:$R$65,18,FALSE)&lt;=2), 2, IF(AND(VLOOKUP(B14,Данные1!$A$42:$R$65,18,FALSE)&gt;2, VLOOKUP(B14,Данные1!$A$42:$R$65,18,FALSE)&lt;=2.5), 2.5, IF(AND(VLOOKUP(B14,Данные1!$A$42:$R$65,18,FALSE)&gt;2.5, VLOOKUP(B14,Данные1!$A$42:$R$65,18,FALSE)&lt;=3), 3,"-"))))</f>
        <v>-</v>
      </c>
      <c r="C64" s="52">
        <f>VLOOKUP(B14,Данные1!$A$42:$R$65,17,FALSE)</f>
        <v>0</v>
      </c>
      <c r="D64" s="51" t="str">
        <f>IF(E64=0,"-",IF(AND(VLOOKUP(D14,Данные1!$A$42:$R$65,18,FALSE)&gt;=0.5, VLOOKUP(D14,Данные1!$A$42:$R$65,18,FALSE)&lt;=2), 2, IF(AND(VLOOKUP(D14,Данные1!$A$42:$R$65,18,FALSE)&gt;2, VLOOKUP(D14,Данные1!$A$42:$R$65,18,FALSE)&lt;=2.5), 2.5, IF(AND(VLOOKUP(D14,Данные1!$A$42:$R$65,18,FALSE)&gt;2.5, VLOOKUP(D14,Данные1!$A$42:$R$65,18,FALSE)&lt;=3), 3,"-"))))</f>
        <v>-</v>
      </c>
      <c r="E64" s="52">
        <f>VLOOKUP(D14,Данные1!$A$42:$R$65,17,FALSE)</f>
        <v>0</v>
      </c>
      <c r="F64" s="51" t="str">
        <f>IF(G64=0,"-",IF(AND(VLOOKUP(F14,Данные1!$A$42:$R$65,18,FALSE)&gt;=0.5, VLOOKUP(F14,Данные1!$A$42:$R$65,18,FALSE)&lt;=2), 2, IF(AND(VLOOKUP(F14,Данные1!$A$42:$R$65,18,FALSE)&gt;2, VLOOKUP(F14,Данные1!$A$42:$R$65,18,FALSE)&lt;=2.5), 2.5, IF(AND(VLOOKUP(F14,Данные1!$A$42:$R$65,18,FALSE)&gt;2.5, VLOOKUP(F14,Данные1!$A$42:$R$65,18,FALSE)&lt;=3), 3,"-"))))</f>
        <v>-</v>
      </c>
      <c r="G64" s="52">
        <f>VLOOKUP(F14,Данные1!$A$42:$R$65,17,FALSE)</f>
        <v>0</v>
      </c>
      <c r="H64" s="51" t="str">
        <f>IF(I64=0,"-",IF(AND(VLOOKUP(H14,Данные1!$A$42:$R$65,18,FALSE)&gt;=0.5, VLOOKUP(H14,Данные1!$A$42:$R$65,18,FALSE)&lt;=2), 2, IF(AND(VLOOKUP(H14,Данные1!$A$42:$R$65,18,FALSE)&gt;2, VLOOKUP(H14,Данные1!$A$42:$R$65,18,FALSE)&lt;=2.5), 2.5, IF(AND(VLOOKUP(H14,Данные1!$A$42:$R$65,18,FALSE)&gt;2.5, VLOOKUP(H14,Данные1!$A$42:$R$65,18,FALSE)&lt;=3), 3,"-"))))</f>
        <v>-</v>
      </c>
      <c r="I64" s="54">
        <f>VLOOKUP(H14,Данные1!$A$42:$R$65,17,FALSE)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3"/>
      <c r="AA64" s="11"/>
      <c r="AB64" s="14"/>
      <c r="AC64" s="14"/>
      <c r="AD64" s="14"/>
    </row>
    <row r="65" spans="1:33" ht="16.5" customHeight="1" x14ac:dyDescent="0.25">
      <c r="A65" s="44" t="s">
        <v>12</v>
      </c>
      <c r="B65" s="51" t="str">
        <f>IF(C65=0,"-","5,5х19")</f>
        <v>5,5х19</v>
      </c>
      <c r="C65" s="52">
        <f>VLOOKUP(B14,Данные1!$A$42:$M$65,12,FALSE)</f>
        <v>40</v>
      </c>
      <c r="D65" s="51" t="str">
        <f>IF(E65=0,"-","5,5х19")</f>
        <v>-</v>
      </c>
      <c r="E65" s="52">
        <f>VLOOKUP(D14,Данные1!$A$42:$M$65,12,FALSE)</f>
        <v>0</v>
      </c>
      <c r="F65" s="51" t="str">
        <f>IF(G65=0,"-","5,5х19")</f>
        <v>-</v>
      </c>
      <c r="G65" s="52">
        <f>VLOOKUP(F14,Данные1!$A$42:$M$65,12,FALSE)</f>
        <v>0</v>
      </c>
      <c r="H65" s="51" t="str">
        <f>IF(I65=0,"-","5,5х19")</f>
        <v>-</v>
      </c>
      <c r="I65" s="54">
        <f>VLOOKUP(H14,Данные1!$A$42:$M$65,12,FALSE)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38" t="s">
        <v>45</v>
      </c>
      <c r="B66" s="51" t="s">
        <v>10</v>
      </c>
      <c r="C66" s="52">
        <f>VLOOKUP(B14,Данные1!$A$42:$M$65,9,FALSE)</f>
        <v>0</v>
      </c>
      <c r="D66" s="51" t="s">
        <v>10</v>
      </c>
      <c r="E66" s="52">
        <f>VLOOKUP(D14,Данные1!$A$42:$M$65,9,FALSE)</f>
        <v>0</v>
      </c>
      <c r="F66" s="51" t="s">
        <v>10</v>
      </c>
      <c r="G66" s="52">
        <f>VLOOKUP(F14,Данные1!$A$42:$M$65,9,FALSE)</f>
        <v>0</v>
      </c>
      <c r="H66" s="51" t="s">
        <v>10</v>
      </c>
      <c r="I66" s="54">
        <f>VLOOKUP(H14,Данные1!$A$42:$M$65,9,FALSE)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5">
      <c r="A67" s="38" t="s">
        <v>47</v>
      </c>
      <c r="B67" s="51" t="s">
        <v>10</v>
      </c>
      <c r="C67" s="52">
        <f>VLOOKUP(B14,Данные1!$A$42:$M$65,10,FALSE)</f>
        <v>0</v>
      </c>
      <c r="D67" s="51" t="s">
        <v>10</v>
      </c>
      <c r="E67" s="52">
        <f>VLOOKUP(D14,Данные1!$A$42:$M$65,10,FALSE)</f>
        <v>0</v>
      </c>
      <c r="F67" s="51" t="s">
        <v>10</v>
      </c>
      <c r="G67" s="52">
        <f>VLOOKUP(F14,Данные1!$A$42:$M$65,10,FALSE)</f>
        <v>0</v>
      </c>
      <c r="H67" s="51" t="s">
        <v>10</v>
      </c>
      <c r="I67" s="54">
        <f>VLOOKUP(H14,Данные1!$A$42:$M$65,10,FALSE)</f>
        <v>0</v>
      </c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5">
      <c r="A68" s="38" t="s">
        <v>193</v>
      </c>
      <c r="B68" s="51" t="s">
        <v>10</v>
      </c>
      <c r="C68" s="52">
        <f>VLOOKUP(B14,Данные1!$A$42:$M$65,11,FALSE)</f>
        <v>0</v>
      </c>
      <c r="D68" s="51" t="s">
        <v>10</v>
      </c>
      <c r="E68" s="52">
        <f>VLOOKUP(D14,Данные1!$A$42:$M$65,11,FALSE)</f>
        <v>0</v>
      </c>
      <c r="F68" s="51" t="s">
        <v>10</v>
      </c>
      <c r="G68" s="52">
        <f>VLOOKUP(F14,Данные1!$A$42:$M$65,11,FALSE)</f>
        <v>0</v>
      </c>
      <c r="H68" s="51" t="s">
        <v>10</v>
      </c>
      <c r="I68" s="54">
        <f>VLOOKUP(H14,Данные1!$A$42:$M$65,11,FALSE)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5">
      <c r="A69" s="44" t="s">
        <v>5</v>
      </c>
      <c r="B69" s="51">
        <f>B62</f>
        <v>1.8</v>
      </c>
      <c r="C69" s="52">
        <f>VLOOKUP(B14,Данные1!$A$42:$S$65,19,FALSE)</f>
        <v>2</v>
      </c>
      <c r="D69" s="51" t="str">
        <f>D62</f>
        <v>-</v>
      </c>
      <c r="E69" s="52">
        <f>VLOOKUP(D14,Данные1!$A$42:$S$65,19,FALSE)</f>
        <v>0</v>
      </c>
      <c r="F69" s="51" t="str">
        <f>F62</f>
        <v>-</v>
      </c>
      <c r="G69" s="52">
        <f>VLOOKUP(F14,Данные1!$A$42:$S$65,19,FALSE)</f>
        <v>0</v>
      </c>
      <c r="H69" s="51" t="str">
        <f>H62</f>
        <v>-</v>
      </c>
      <c r="I69" s="54">
        <f>VLOOKUP(H14,Данные1!$A$42:$S$65,19,FALSE)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5">
      <c r="A70" s="44" t="s">
        <v>196</v>
      </c>
      <c r="B70" s="51" t="str">
        <f>IF(C70="инд. расчет","инд. расчет","")</f>
        <v/>
      </c>
      <c r="C70" s="52">
        <f>IF(OR(B6="Ламель Milan slim",B16="нет"),0,IF(AND(B16="да",C44=1),VLOOKUP(B14,Данные1!$A$43:$U$65,21,FALSE),"инд. расчет"))</f>
        <v>2</v>
      </c>
      <c r="D70" s="51" t="str">
        <f>IF(E70="инд. расчет","инд. расчет","")</f>
        <v/>
      </c>
      <c r="E70" s="52">
        <f>IF(OR(D6="Ламель Milan slim",D16="нет"),0,IF(AND(D16="да",E45=1),VLOOKUP(D14,Данные1!$A$43:$U$65,21,FALSE),"инд. расчет"))</f>
        <v>0</v>
      </c>
      <c r="F70" s="51" t="str">
        <f>IF(G70="инд. расчет","инд. расчет","")</f>
        <v/>
      </c>
      <c r="G70" s="52">
        <f>IF(OR(F6="Ламель Milan slim",F16="нет"),0,IF(AND(F16="да",G46=1),VLOOKUP(F14,Данные1!$A$43:$U$65,21,FALSE),"инд. расчет"))</f>
        <v>0</v>
      </c>
      <c r="H70" s="51" t="str">
        <f>IF(I70="инд. расчет","инд. расчет","")</f>
        <v/>
      </c>
      <c r="I70" s="54">
        <f>IF(OR(H6="Ламель Milan slim",H16="нет"),0,IF(AND(H16="да",I47=1),VLOOKUP(H14,Данные1!$A$43:$U$65,21,FALSE),"инд. расчет"))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5">
      <c r="A71" s="44" t="s">
        <v>197</v>
      </c>
      <c r="B71" s="51" t="str">
        <f>IF(C71="инд. расчет","инд. расчет","")</f>
        <v/>
      </c>
      <c r="C71" s="52">
        <f>C70</f>
        <v>2</v>
      </c>
      <c r="D71" s="51" t="str">
        <f>IF(E71="инд. расчет","инд. расчет","")</f>
        <v/>
      </c>
      <c r="E71" s="52">
        <f>E70</f>
        <v>0</v>
      </c>
      <c r="F71" s="51" t="str">
        <f>IF(G71="инд. расчет","инд. расчет","")</f>
        <v/>
      </c>
      <c r="G71" s="52">
        <f>G70</f>
        <v>0</v>
      </c>
      <c r="H71" s="51" t="str">
        <f>IF(I71="инд. расчет","инд. расчет","")</f>
        <v/>
      </c>
      <c r="I71" s="54">
        <f>I70</f>
        <v>0</v>
      </c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ht="16.5" customHeight="1" x14ac:dyDescent="0.25">
      <c r="A72" s="71" t="s">
        <v>206</v>
      </c>
      <c r="B72" s="76"/>
      <c r="C72" s="77"/>
      <c r="D72" s="80"/>
      <c r="E72" s="77"/>
      <c r="F72" s="80"/>
      <c r="G72" s="77"/>
      <c r="H72" s="80"/>
      <c r="I72" s="76"/>
      <c r="K72" s="11"/>
      <c r="R72" s="12"/>
      <c r="S72" s="6"/>
      <c r="T72" s="6"/>
      <c r="U72" s="6"/>
      <c r="V72" s="6"/>
      <c r="W72" s="6"/>
      <c r="X72" s="6"/>
      <c r="Y72" s="6"/>
      <c r="Z72" s="16"/>
      <c r="AA72" s="14"/>
      <c r="AB72" s="15"/>
      <c r="AC72" s="14"/>
      <c r="AD72" s="11"/>
      <c r="AE72" s="14"/>
      <c r="AF72" s="14"/>
      <c r="AG72" s="14"/>
    </row>
    <row r="73" spans="1:33" s="93" customFormat="1" ht="16.5" customHeight="1" x14ac:dyDescent="0.25">
      <c r="A73" s="38" t="s">
        <v>12</v>
      </c>
      <c r="B73" s="55" t="s">
        <v>173</v>
      </c>
      <c r="C73" s="52">
        <f>C31+C52+C65</f>
        <v>40</v>
      </c>
      <c r="D73" s="55" t="s">
        <v>173</v>
      </c>
      <c r="E73" s="52">
        <f>E31+E52+E65</f>
        <v>0</v>
      </c>
      <c r="F73" s="55" t="s">
        <v>173</v>
      </c>
      <c r="G73" s="52">
        <f>G31+G52+G65</f>
        <v>0</v>
      </c>
      <c r="H73" s="55" t="s">
        <v>173</v>
      </c>
      <c r="I73" s="54">
        <f>I31+I52+I65</f>
        <v>0</v>
      </c>
      <c r="K73" s="90"/>
      <c r="R73" s="94"/>
      <c r="S73" s="95"/>
      <c r="T73" s="95"/>
      <c r="U73" s="95"/>
      <c r="V73" s="95"/>
      <c r="W73" s="95"/>
      <c r="X73" s="95"/>
      <c r="Y73" s="95"/>
      <c r="Z73" s="96"/>
      <c r="AA73" s="97"/>
      <c r="AB73" s="98"/>
      <c r="AC73" s="97"/>
      <c r="AD73" s="90"/>
      <c r="AE73" s="97"/>
      <c r="AF73" s="97"/>
      <c r="AG73" s="97"/>
    </row>
    <row r="74" spans="1:33" s="93" customFormat="1" ht="16.5" customHeight="1" x14ac:dyDescent="0.25">
      <c r="A74" s="44" t="s">
        <v>13</v>
      </c>
      <c r="B74" s="55" t="s">
        <v>175</v>
      </c>
      <c r="C74" s="52">
        <f>C32</f>
        <v>0</v>
      </c>
      <c r="D74" s="55" t="s">
        <v>175</v>
      </c>
      <c r="E74" s="52">
        <f>E32</f>
        <v>0</v>
      </c>
      <c r="F74" s="55" t="s">
        <v>175</v>
      </c>
      <c r="G74" s="52">
        <f>G32</f>
        <v>0</v>
      </c>
      <c r="H74" s="55" t="s">
        <v>175</v>
      </c>
      <c r="I74" s="54">
        <f>I32</f>
        <v>0</v>
      </c>
      <c r="K74" s="90"/>
      <c r="R74" s="94"/>
      <c r="S74" s="95"/>
      <c r="T74" s="95"/>
      <c r="U74" s="95"/>
      <c r="V74" s="95"/>
      <c r="W74" s="95"/>
      <c r="X74" s="95"/>
      <c r="Y74" s="95"/>
      <c r="Z74" s="96"/>
      <c r="AA74" s="97"/>
      <c r="AB74" s="98"/>
      <c r="AC74" s="97"/>
      <c r="AD74" s="90"/>
      <c r="AE74" s="97"/>
      <c r="AF74" s="97"/>
      <c r="AG74" s="97"/>
    </row>
    <row r="75" spans="1:33" s="93" customFormat="1" ht="16.5" customHeight="1" x14ac:dyDescent="0.25">
      <c r="A75" s="44" t="s">
        <v>260</v>
      </c>
      <c r="B75" s="55" t="s">
        <v>174</v>
      </c>
      <c r="C75" s="52">
        <f>C33</f>
        <v>0</v>
      </c>
      <c r="D75" s="55" t="s">
        <v>174</v>
      </c>
      <c r="E75" s="52">
        <f>E33</f>
        <v>0</v>
      </c>
      <c r="F75" s="55" t="s">
        <v>174</v>
      </c>
      <c r="G75" s="52">
        <f>G33</f>
        <v>0</v>
      </c>
      <c r="H75" s="55" t="s">
        <v>174</v>
      </c>
      <c r="I75" s="54">
        <f>I33</f>
        <v>0</v>
      </c>
      <c r="K75" s="90"/>
      <c r="R75" s="94"/>
      <c r="S75" s="95"/>
      <c r="T75" s="95"/>
      <c r="U75" s="95"/>
      <c r="V75" s="95"/>
      <c r="W75" s="95"/>
      <c r="X75" s="95"/>
      <c r="Y75" s="95"/>
      <c r="Z75" s="96"/>
      <c r="AA75" s="97"/>
      <c r="AB75" s="98"/>
      <c r="AC75" s="97"/>
      <c r="AD75" s="90"/>
      <c r="AE75" s="97"/>
      <c r="AF75" s="97"/>
      <c r="AG75" s="97"/>
    </row>
    <row r="76" spans="1:33" s="93" customFormat="1" ht="16.5" customHeight="1" x14ac:dyDescent="0.25">
      <c r="A76" s="44" t="s">
        <v>261</v>
      </c>
      <c r="B76" s="55"/>
      <c r="C76" s="52">
        <f>C34</f>
        <v>0</v>
      </c>
      <c r="D76" s="55"/>
      <c r="E76" s="52">
        <f>E34</f>
        <v>0</v>
      </c>
      <c r="F76" s="55"/>
      <c r="G76" s="52">
        <f>G34</f>
        <v>0</v>
      </c>
      <c r="H76" s="55"/>
      <c r="I76" s="54">
        <f>I34</f>
        <v>0</v>
      </c>
      <c r="K76" s="90"/>
      <c r="R76" s="94"/>
      <c r="S76" s="95"/>
      <c r="T76" s="95"/>
      <c r="U76" s="95"/>
      <c r="V76" s="95"/>
      <c r="W76" s="95"/>
      <c r="X76" s="95"/>
      <c r="Y76" s="95"/>
      <c r="Z76" s="96"/>
      <c r="AA76" s="97"/>
      <c r="AB76" s="98"/>
      <c r="AC76" s="97"/>
      <c r="AD76" s="90"/>
      <c r="AE76" s="97"/>
      <c r="AF76" s="97"/>
      <c r="AG76" s="97"/>
    </row>
    <row r="77" spans="1:33" ht="12.75" customHeight="1" x14ac:dyDescent="0.25">
      <c r="A77" s="12"/>
      <c r="B77" s="39"/>
      <c r="C77" s="11"/>
      <c r="D77" s="11"/>
      <c r="E77" s="11"/>
      <c r="F77" s="11"/>
      <c r="G77" s="11"/>
      <c r="H77" s="11"/>
      <c r="I77" s="11"/>
      <c r="J77" s="40"/>
      <c r="K77" s="11"/>
    </row>
    <row r="78" spans="1:33" ht="12.75" customHeight="1" x14ac:dyDescent="0.25">
      <c r="A78" s="40"/>
      <c r="B78" s="39"/>
      <c r="C78" s="11"/>
      <c r="D78" s="11"/>
      <c r="E78" s="11"/>
      <c r="F78" s="11"/>
      <c r="G78" s="11"/>
      <c r="H78" s="11"/>
      <c r="I78" s="11"/>
      <c r="J78" s="40"/>
      <c r="K78" s="11"/>
    </row>
    <row r="79" spans="1:33" ht="19.5" customHeight="1" x14ac:dyDescent="0.25">
      <c r="A79" s="214" t="s">
        <v>128</v>
      </c>
      <c r="B79" s="214"/>
      <c r="C79" s="214"/>
      <c r="D79" s="214"/>
      <c r="E79" s="214"/>
      <c r="F79" s="214"/>
      <c r="G79" s="214"/>
      <c r="H79" s="214"/>
      <c r="I79" s="214"/>
      <c r="J79" s="40"/>
      <c r="K79" s="11"/>
    </row>
    <row r="80" spans="1:33" x14ac:dyDescent="0.25">
      <c r="A80" s="219" t="s">
        <v>208</v>
      </c>
      <c r="B80" s="220"/>
      <c r="C80" s="220"/>
      <c r="D80" s="220"/>
      <c r="E80" s="220"/>
      <c r="F80" s="220"/>
      <c r="G80" s="220"/>
      <c r="H80" s="220"/>
      <c r="I80" s="221"/>
      <c r="J80" s="12"/>
    </row>
    <row r="81" spans="1:13" x14ac:dyDescent="0.25">
      <c r="A81" s="219" t="s">
        <v>209</v>
      </c>
      <c r="B81" s="220"/>
      <c r="C81" s="220"/>
      <c r="D81" s="220"/>
      <c r="E81" s="220"/>
      <c r="F81" s="220"/>
      <c r="G81" s="220"/>
      <c r="H81" s="220"/>
      <c r="I81" s="221"/>
      <c r="J81" s="12"/>
    </row>
    <row r="82" spans="1:13" ht="28.5" customHeight="1" x14ac:dyDescent="0.25">
      <c r="A82" s="197" t="s">
        <v>49</v>
      </c>
      <c r="B82" s="198"/>
      <c r="C82" s="198"/>
      <c r="D82" s="198"/>
      <c r="E82" s="198"/>
      <c r="F82" s="198"/>
      <c r="G82" s="198"/>
      <c r="H82" s="198"/>
      <c r="I82" s="199"/>
      <c r="J82" s="17"/>
      <c r="K82" s="17"/>
    </row>
    <row r="83" spans="1:13" ht="32.25" customHeight="1" x14ac:dyDescent="0.25">
      <c r="A83" s="197" t="s">
        <v>129</v>
      </c>
      <c r="B83" s="198"/>
      <c r="C83" s="198"/>
      <c r="D83" s="198"/>
      <c r="E83" s="198"/>
      <c r="F83" s="198"/>
      <c r="G83" s="198"/>
      <c r="H83" s="198"/>
      <c r="I83" s="199"/>
      <c r="J83" s="41"/>
      <c r="K83" s="36"/>
      <c r="L83" s="19"/>
      <c r="M83" s="19"/>
    </row>
    <row r="84" spans="1:13" x14ac:dyDescent="0.25">
      <c r="A84" s="197" t="s">
        <v>50</v>
      </c>
      <c r="B84" s="198"/>
      <c r="C84" s="198"/>
      <c r="D84" s="198"/>
      <c r="E84" s="198"/>
      <c r="F84" s="198"/>
      <c r="G84" s="198"/>
      <c r="H84" s="198"/>
      <c r="I84" s="199"/>
      <c r="J84" s="41"/>
      <c r="K84" s="36"/>
      <c r="L84" s="19"/>
      <c r="M84" s="19"/>
    </row>
    <row r="85" spans="1:13" ht="28.5" customHeight="1" x14ac:dyDescent="0.25">
      <c r="A85" s="197" t="s">
        <v>207</v>
      </c>
      <c r="B85" s="198"/>
      <c r="C85" s="198"/>
      <c r="D85" s="198"/>
      <c r="E85" s="198"/>
      <c r="F85" s="198"/>
      <c r="G85" s="198"/>
      <c r="H85" s="198"/>
      <c r="I85" s="199"/>
      <c r="J85" s="41"/>
      <c r="K85" s="36"/>
      <c r="L85" s="19"/>
      <c r="M85" s="19"/>
    </row>
    <row r="86" spans="1:13" ht="33.75" customHeight="1" x14ac:dyDescent="0.25">
      <c r="A86" s="197" t="s">
        <v>130</v>
      </c>
      <c r="B86" s="198"/>
      <c r="C86" s="198"/>
      <c r="D86" s="198"/>
      <c r="E86" s="198"/>
      <c r="F86" s="198"/>
      <c r="G86" s="198"/>
      <c r="H86" s="198"/>
      <c r="I86" s="199"/>
      <c r="J86" s="41"/>
      <c r="K86" s="36"/>
    </row>
    <row r="87" spans="1:13" ht="252.75" customHeight="1" x14ac:dyDescent="0.25">
      <c r="A87" s="225" t="s">
        <v>52</v>
      </c>
      <c r="B87" s="226"/>
      <c r="C87" s="226"/>
      <c r="D87" s="226"/>
      <c r="E87" s="226"/>
      <c r="F87" s="226"/>
      <c r="G87" s="226"/>
      <c r="H87" s="226"/>
      <c r="I87" s="227"/>
      <c r="J87" s="41"/>
      <c r="K87" s="36"/>
      <c r="L87" s="19"/>
      <c r="M87" s="19"/>
    </row>
    <row r="88" spans="1:13" x14ac:dyDescent="0.25">
      <c r="A88" s="20"/>
      <c r="B88" s="20"/>
      <c r="C88" s="20"/>
      <c r="D88" s="20"/>
      <c r="E88" s="20"/>
      <c r="F88" s="20"/>
      <c r="G88" s="20"/>
      <c r="H88" s="20"/>
    </row>
    <row r="89" spans="1:13" x14ac:dyDescent="0.25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5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5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5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5">
      <c r="A94" s="20"/>
      <c r="B94" s="20"/>
      <c r="C94" s="20"/>
      <c r="D94" s="20"/>
      <c r="E94" s="20"/>
      <c r="F94" s="20"/>
      <c r="G94" s="20"/>
      <c r="H94" s="20"/>
    </row>
    <row r="95" spans="1:13" ht="12.7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5">
      <c r="A98" s="21"/>
      <c r="B98" s="21"/>
      <c r="C98" s="21"/>
      <c r="D98" s="21"/>
      <c r="E98" s="21"/>
      <c r="F98" s="21"/>
      <c r="G98" s="21"/>
      <c r="H98" s="21"/>
    </row>
    <row r="99" spans="1:8" ht="12.75" customHeight="1" x14ac:dyDescent="0.25">
      <c r="H99" s="12"/>
    </row>
    <row r="100" spans="1:8" ht="12.75" customHeight="1" x14ac:dyDescent="0.25">
      <c r="H100" s="12"/>
    </row>
    <row r="101" spans="1:8" x14ac:dyDescent="0.25">
      <c r="H101" s="12"/>
    </row>
    <row r="102" spans="1:8" x14ac:dyDescent="0.25">
      <c r="A102" s="5"/>
      <c r="B102" s="5"/>
      <c r="H102" s="12"/>
    </row>
    <row r="103" spans="1:8" x14ac:dyDescent="0.25">
      <c r="A103" s="5"/>
      <c r="B103" s="45"/>
      <c r="H103" s="12"/>
    </row>
    <row r="104" spans="1:8" x14ac:dyDescent="0.25">
      <c r="A104" s="5"/>
      <c r="B104" s="45"/>
      <c r="H104" s="12"/>
    </row>
    <row r="105" spans="1:8" x14ac:dyDescent="0.25">
      <c r="A105" s="42"/>
      <c r="B105" s="45"/>
      <c r="H105" s="12"/>
    </row>
    <row r="106" spans="1:8" x14ac:dyDescent="0.25">
      <c r="A106" s="42"/>
      <c r="B106" s="45"/>
      <c r="H106" s="12"/>
    </row>
    <row r="107" spans="1:8" x14ac:dyDescent="0.25">
      <c r="H107" s="12"/>
    </row>
    <row r="108" spans="1:8" x14ac:dyDescent="0.25">
      <c r="A108" s="28"/>
      <c r="H108" s="12"/>
    </row>
    <row r="109" spans="1:8" x14ac:dyDescent="0.25">
      <c r="A109" s="28"/>
      <c r="H109" s="12"/>
    </row>
    <row r="110" spans="1:8" x14ac:dyDescent="0.25">
      <c r="A110" s="28"/>
      <c r="H110" s="12"/>
    </row>
    <row r="111" spans="1:8" x14ac:dyDescent="0.25">
      <c r="A111" s="28"/>
      <c r="H111" s="12"/>
    </row>
    <row r="112" spans="1:8" x14ac:dyDescent="0.25">
      <c r="A112" s="28"/>
      <c r="H112" s="12"/>
    </row>
    <row r="113" spans="1:11" x14ac:dyDescent="0.25">
      <c r="A113" s="28"/>
      <c r="H113" s="12"/>
    </row>
    <row r="114" spans="1:11" x14ac:dyDescent="0.25">
      <c r="A114" s="28"/>
      <c r="H114" s="12"/>
    </row>
    <row r="115" spans="1:11" s="3" customFormat="1" x14ac:dyDescent="0.25">
      <c r="C115" s="29"/>
      <c r="D115" s="29"/>
      <c r="E115" s="29"/>
      <c r="F115" s="29"/>
      <c r="G115" s="29"/>
      <c r="H115" s="32"/>
      <c r="I115" s="29"/>
      <c r="J115" s="29"/>
      <c r="K115" s="29"/>
    </row>
    <row r="116" spans="1:11" s="3" customFormat="1" x14ac:dyDescent="0.25">
      <c r="A116" s="31"/>
      <c r="B116" s="218"/>
      <c r="C116" s="218"/>
      <c r="D116" s="29"/>
      <c r="E116" s="29"/>
      <c r="F116" s="29"/>
      <c r="G116" s="29"/>
      <c r="H116" s="32"/>
      <c r="I116" s="29"/>
      <c r="J116" s="29"/>
      <c r="K116" s="29"/>
    </row>
    <row r="117" spans="1:11" x14ac:dyDescent="0.25">
      <c r="A117" s="29"/>
      <c r="B117" s="29"/>
      <c r="C117" s="29"/>
    </row>
    <row r="118" spans="1:11" s="3" customFormat="1" x14ac:dyDescent="0.25">
      <c r="A118" s="30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5">
      <c r="A119" s="31"/>
      <c r="B119" s="30"/>
      <c r="C119" s="30"/>
      <c r="D119" s="29"/>
      <c r="E119" s="29"/>
      <c r="F119" s="29"/>
      <c r="G119" s="29"/>
      <c r="H119" s="32"/>
      <c r="I119" s="29"/>
      <c r="J119" s="29"/>
      <c r="K119" s="29"/>
    </row>
    <row r="120" spans="1:11" s="3" customFormat="1" x14ac:dyDescent="0.25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5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5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5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5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5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5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5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5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5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5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5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5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5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5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5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5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5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5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5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5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5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5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5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5">
      <c r="A144" s="31"/>
      <c r="B144" s="30"/>
      <c r="C144" s="30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5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" customFormat="1" x14ac:dyDescent="0.25">
      <c r="A146" s="31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 s="35" customFormat="1" x14ac:dyDescent="0.3">
      <c r="A147" s="33"/>
      <c r="B147" s="34"/>
      <c r="C147" s="34"/>
      <c r="D147" s="34"/>
      <c r="E147" s="34"/>
      <c r="F147" s="34"/>
      <c r="G147" s="34"/>
      <c r="H147" s="34"/>
      <c r="I147" s="34"/>
      <c r="J147" s="32"/>
      <c r="K147" s="32"/>
    </row>
    <row r="148" spans="1:11" s="3" customFormat="1" x14ac:dyDescent="0.25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5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5">
      <c r="A150" s="29"/>
      <c r="B150" s="31"/>
      <c r="C150" s="31"/>
      <c r="D150" s="31"/>
      <c r="E150" s="31"/>
      <c r="F150" s="31"/>
      <c r="G150" s="31"/>
      <c r="H150" s="30"/>
      <c r="I150" s="30"/>
      <c r="J150" s="29"/>
      <c r="K150" s="29"/>
    </row>
    <row r="151" spans="1:11" s="3" customFormat="1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29"/>
      <c r="K151" s="29"/>
    </row>
    <row r="152" spans="1:11" s="3" customFormat="1" x14ac:dyDescent="0.25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5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5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5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5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5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5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5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5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5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5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5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5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5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5">
      <c r="A166" s="29"/>
      <c r="B166" s="31"/>
      <c r="C166" s="31"/>
      <c r="D166" s="31"/>
      <c r="E166" s="31"/>
      <c r="F166" s="31"/>
      <c r="G166" s="31"/>
      <c r="H166" s="30"/>
      <c r="I166" s="30"/>
      <c r="J166" s="29"/>
      <c r="K166" s="29"/>
    </row>
    <row r="167" spans="1:11" s="3" customForma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s="3" customFormat="1" x14ac:dyDescent="0.25">
      <c r="A174" s="29"/>
      <c r="B174" s="29"/>
      <c r="C174" s="29"/>
      <c r="D174" s="29"/>
      <c r="J174" s="29"/>
      <c r="K174" s="29"/>
    </row>
    <row r="175" spans="1:11" s="3" customFormat="1" x14ac:dyDescent="0.25">
      <c r="A175" s="29"/>
      <c r="B175" s="29"/>
      <c r="C175" s="29"/>
      <c r="D175" s="29"/>
      <c r="J175" s="29"/>
      <c r="K175" s="29"/>
    </row>
    <row r="176" spans="1:11" s="3" customFormat="1" x14ac:dyDescent="0.25">
      <c r="A176" s="29"/>
      <c r="B176" s="29"/>
      <c r="C176" s="29"/>
      <c r="D176" s="29"/>
      <c r="J176" s="29"/>
      <c r="K176" s="29"/>
    </row>
    <row r="177" spans="1:11" s="3" customFormat="1" x14ac:dyDescent="0.25">
      <c r="A177" s="29"/>
      <c r="B177" s="29"/>
      <c r="C177" s="29"/>
      <c r="D177" s="29"/>
      <c r="J177" s="29"/>
      <c r="K177" s="29"/>
    </row>
    <row r="178" spans="1:11" s="3" customFormat="1" x14ac:dyDescent="0.25">
      <c r="A178" s="29"/>
      <c r="B178" s="29"/>
      <c r="C178" s="29"/>
      <c r="D178" s="29"/>
      <c r="J178" s="29"/>
      <c r="K178" s="29"/>
    </row>
    <row r="179" spans="1:11" s="3" customFormat="1" x14ac:dyDescent="0.25">
      <c r="A179" s="29"/>
      <c r="B179" s="29"/>
      <c r="C179" s="29"/>
      <c r="D179" s="29"/>
      <c r="J179" s="29"/>
      <c r="K179" s="29"/>
    </row>
    <row r="180" spans="1:11" s="3" customFormat="1" x14ac:dyDescent="0.25">
      <c r="A180" s="29"/>
      <c r="B180" s="29"/>
      <c r="C180" s="29"/>
      <c r="D180" s="29"/>
      <c r="J180" s="29"/>
      <c r="K180" s="29"/>
    </row>
    <row r="181" spans="1:11" s="3" customFormat="1" x14ac:dyDescent="0.25">
      <c r="A181" s="29"/>
      <c r="B181" s="29"/>
      <c r="C181" s="29"/>
      <c r="D181" s="29"/>
      <c r="J181" s="29"/>
      <c r="K181" s="29"/>
    </row>
    <row r="182" spans="1:11" s="3" customFormat="1" x14ac:dyDescent="0.25">
      <c r="A182" s="29"/>
      <c r="B182" s="29"/>
      <c r="C182" s="29"/>
      <c r="D182" s="29"/>
      <c r="J182" s="29"/>
      <c r="K182" s="29"/>
    </row>
    <row r="183" spans="1:11" s="3" customFormat="1" x14ac:dyDescent="0.25">
      <c r="A183" s="29"/>
      <c r="B183" s="29"/>
      <c r="C183" s="29"/>
      <c r="D183" s="29"/>
      <c r="J183" s="29"/>
      <c r="K183" s="29"/>
    </row>
    <row r="184" spans="1:11" s="3" customFormat="1" x14ac:dyDescent="0.25">
      <c r="A184" s="29"/>
      <c r="B184" s="29"/>
      <c r="C184" s="29"/>
      <c r="D184" s="29"/>
      <c r="J184" s="29"/>
      <c r="K184" s="29"/>
    </row>
    <row r="185" spans="1:11" s="3" customFormat="1" x14ac:dyDescent="0.25">
      <c r="A185" s="29"/>
      <c r="B185" s="29"/>
      <c r="C185" s="29"/>
      <c r="D185" s="29"/>
      <c r="J185" s="29"/>
      <c r="K185" s="29"/>
    </row>
    <row r="186" spans="1:11" s="3" customFormat="1" x14ac:dyDescent="0.25">
      <c r="A186" s="29"/>
      <c r="B186" s="29"/>
      <c r="C186" s="29"/>
      <c r="D186" s="29"/>
      <c r="J186" s="29"/>
      <c r="K186" s="29"/>
    </row>
    <row r="187" spans="1:11" s="3" customFormat="1" x14ac:dyDescent="0.25"/>
    <row r="188" spans="1:11" s="3" customFormat="1" x14ac:dyDescent="0.25"/>
    <row r="189" spans="1:11" s="3" customFormat="1" x14ac:dyDescent="0.25"/>
    <row r="190" spans="1:11" s="3" customFormat="1" x14ac:dyDescent="0.25"/>
    <row r="191" spans="1:11" s="3" customFormat="1" x14ac:dyDescent="0.25"/>
  </sheetData>
  <sheetProtection selectLockedCells="1" selectUnlockedCells="1"/>
  <mergeCells count="68">
    <mergeCell ref="B116:C116"/>
    <mergeCell ref="F14:G14"/>
    <mergeCell ref="H14:I14"/>
    <mergeCell ref="A82:I82"/>
    <mergeCell ref="A81:I81"/>
    <mergeCell ref="A19:A20"/>
    <mergeCell ref="B16:C16"/>
    <mergeCell ref="D16:E16"/>
    <mergeCell ref="A80:I80"/>
    <mergeCell ref="B19:C19"/>
    <mergeCell ref="D19:E19"/>
    <mergeCell ref="F19:G19"/>
    <mergeCell ref="H19:I19"/>
    <mergeCell ref="F15:G15"/>
    <mergeCell ref="H16:I16"/>
    <mergeCell ref="A87:I87"/>
    <mergeCell ref="D10:E10"/>
    <mergeCell ref="D12:E12"/>
    <mergeCell ref="D13:E13"/>
    <mergeCell ref="F11:G11"/>
    <mergeCell ref="B11:C11"/>
    <mergeCell ref="B12:C12"/>
    <mergeCell ref="D11:E11"/>
    <mergeCell ref="H13:I13"/>
    <mergeCell ref="F12:G12"/>
    <mergeCell ref="H12:I12"/>
    <mergeCell ref="H15:I15"/>
    <mergeCell ref="H5:I5"/>
    <mergeCell ref="B6:I6"/>
    <mergeCell ref="B8:C8"/>
    <mergeCell ref="D8:E8"/>
    <mergeCell ref="F8:G8"/>
    <mergeCell ref="H8:I8"/>
    <mergeCell ref="H9:I9"/>
    <mergeCell ref="B13:C13"/>
    <mergeCell ref="B9:C9"/>
    <mergeCell ref="D9:E9"/>
    <mergeCell ref="F9:G9"/>
    <mergeCell ref="B10:C10"/>
    <mergeCell ref="A83:I83"/>
    <mergeCell ref="A84:I84"/>
    <mergeCell ref="A85:I85"/>
    <mergeCell ref="A79:I79"/>
    <mergeCell ref="D37:E37"/>
    <mergeCell ref="F16:G16"/>
    <mergeCell ref="D15:E15"/>
    <mergeCell ref="B14:C14"/>
    <mergeCell ref="D14:E14"/>
    <mergeCell ref="F37:G37"/>
    <mergeCell ref="B15:C15"/>
    <mergeCell ref="A17:I17"/>
    <mergeCell ref="B18:I18"/>
    <mergeCell ref="A86:I86"/>
    <mergeCell ref="F10:G10"/>
    <mergeCell ref="A4:A5"/>
    <mergeCell ref="B4:I4"/>
    <mergeCell ref="B5:C5"/>
    <mergeCell ref="D5:E5"/>
    <mergeCell ref="F5:G5"/>
    <mergeCell ref="B7:C7"/>
    <mergeCell ref="D7:E7"/>
    <mergeCell ref="F7:G7"/>
    <mergeCell ref="H7:I7"/>
    <mergeCell ref="H10:I10"/>
    <mergeCell ref="F13:G13"/>
    <mergeCell ref="B37:C37"/>
    <mergeCell ref="H11:I11"/>
    <mergeCell ref="H37:I37"/>
  </mergeCells>
  <phoneticPr fontId="28" type="noConversion"/>
  <dataValidations count="18">
    <dataValidation type="decimal" operator="lessThanOrEqual" allowBlank="1" showInputMessage="1" showErrorMessage="1" sqref="H8 B8 D8 F8" xr:uid="{00000000-0002-0000-0000-000000000000}">
      <formula1>3</formula1>
    </dataValidation>
    <dataValidation type="list" allowBlank="1" showInputMessage="1" showErrorMessage="1" sqref="B7" xr:uid="{00000000-0002-0000-0000-000001000000}">
      <formula1>MRGOJ</formula1>
    </dataValidation>
    <dataValidation type="list" allowBlank="1" showInputMessage="1" showErrorMessage="1" sqref="D7" xr:uid="{00000000-0002-0000-0000-000002000000}">
      <formula1>JJEDD</formula1>
    </dataValidation>
    <dataValidation type="list" allowBlank="1" showInputMessage="1" showErrorMessage="1" sqref="F7" xr:uid="{00000000-0002-0000-0000-000003000000}">
      <formula1>YAWAO</formula1>
    </dataValidation>
    <dataValidation type="list" allowBlank="1" showInputMessage="1" showErrorMessage="1" sqref="H7" xr:uid="{00000000-0002-0000-0000-000004000000}">
      <formula1>IQDLQ</formula1>
    </dataValidation>
    <dataValidation type="list" allowBlank="1" showInputMessage="1" showErrorMessage="1" sqref="B12 D12 F12 H12" xr:uid="{00000000-0002-0000-0000-000005000000}">
      <formula1>"да, нет"</formula1>
    </dataValidation>
    <dataValidation type="list" allowBlank="1" showInputMessage="1" showErrorMessage="1" sqref="B13:C13" xr:uid="{00000000-0002-0000-0000-000006000000}">
      <formula1>GQIBE</formula1>
    </dataValidation>
    <dataValidation type="list" allowBlank="1" showInputMessage="1" showErrorMessage="1" sqref="D13:E13" xr:uid="{00000000-0002-0000-0000-000007000000}">
      <formula1>PSAXR</formula1>
    </dataValidation>
    <dataValidation type="list" allowBlank="1" showInputMessage="1" showErrorMessage="1" sqref="F13:G13" xr:uid="{00000000-0002-0000-0000-000008000000}">
      <formula1>TAYYL</formula1>
    </dataValidation>
    <dataValidation type="list" allowBlank="1" showInputMessage="1" showErrorMessage="1" sqref="H13:I13" xr:uid="{00000000-0002-0000-0000-000009000000}">
      <formula1>OGGLT</formula1>
    </dataValidation>
    <dataValidation type="list" allowBlank="1" showInputMessage="1" showErrorMessage="1" sqref="B14:I14" xr:uid="{00000000-0002-0000-0000-00000A000000}">
      <formula1>QPAFE</formula1>
    </dataValidation>
    <dataValidation type="list" allowBlank="1" showInputMessage="1" showErrorMessage="1" sqref="B15:C15" xr:uid="{00000000-0002-0000-0000-00000F000000}">
      <formula1>BTYPS</formula1>
    </dataValidation>
    <dataValidation type="list" allowBlank="1" showInputMessage="1" showErrorMessage="1" sqref="D15:E15" xr:uid="{00000000-0002-0000-0000-000010000000}">
      <formula1>MUGNQ</formula1>
    </dataValidation>
    <dataValidation type="list" allowBlank="1" showInputMessage="1" showErrorMessage="1" sqref="F15:G15" xr:uid="{00000000-0002-0000-0000-000011000000}">
      <formula1>IANCJ</formula1>
    </dataValidation>
    <dataValidation type="list" allowBlank="1" showInputMessage="1" showErrorMessage="1" sqref="H15:I15" xr:uid="{00000000-0002-0000-0000-000012000000}">
      <formula1>CEXUI</formula1>
    </dataValidation>
    <dataValidation type="list" allowBlank="1" showInputMessage="1" showErrorMessage="1" sqref="B16:I16" xr:uid="{00000000-0002-0000-0000-000014000000}">
      <formula1>MilType</formula1>
    </dataValidation>
    <dataValidation type="list" allowBlank="1" showInputMessage="1" showErrorMessage="1" sqref="B6:I6" xr:uid="{76A176CE-04B2-40EB-85CD-76AA78A4435A}">
      <formula1>"Ламель Milan, Ламель Milan slim"</formula1>
    </dataValidation>
    <dataValidation type="list" allowBlank="1" showInputMessage="1" showErrorMessage="1" sqref="B16:I16" xr:uid="{860B7A25-CC31-44C3-B310-386B3992454E}">
      <formula1>"да,нет"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fitToHeight="2" orientation="portrait" r:id="rId1"/>
  <headerFooter scaleWithDoc="0"/>
  <rowBreaks count="1" manualBreakCount="1">
    <brk id="78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G218"/>
  <sheetViews>
    <sheetView showGridLines="0" zoomScale="85" zoomScaleNormal="85" zoomScaleSheetLayoutView="50" zoomScalePageLayoutView="55" workbookViewId="0"/>
  </sheetViews>
  <sheetFormatPr defaultColWidth="0" defaultRowHeight="13.2" x14ac:dyDescent="0.25"/>
  <cols>
    <col min="1" max="1" width="55.6640625" style="2" customWidth="1"/>
    <col min="2" max="3" width="14.33203125" style="2" bestFit="1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25.33203125" style="2" customWidth="1"/>
    <col min="11" max="11" width="9.33203125" style="2" hidden="1" customWidth="1"/>
    <col min="12" max="12" width="9" style="2" hidden="1" customWidth="1"/>
    <col min="13" max="13" width="13.88671875" style="2" hidden="1" customWidth="1"/>
    <col min="14" max="14" width="10.88671875" style="2" hidden="1" customWidth="1"/>
    <col min="15" max="16384" width="9.109375" style="2" hidden="1"/>
  </cols>
  <sheetData>
    <row r="1" spans="1:11" x14ac:dyDescent="0.25">
      <c r="A1" s="121">
        <v>45812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3">
      <c r="A2" s="101" t="s">
        <v>131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01" t="s">
        <v>132</v>
      </c>
      <c r="B4" s="202" t="s">
        <v>30</v>
      </c>
      <c r="C4" s="202"/>
      <c r="D4" s="202"/>
      <c r="E4" s="202"/>
      <c r="F4" s="202"/>
      <c r="G4" s="202"/>
      <c r="H4" s="202"/>
      <c r="I4" s="202"/>
      <c r="J4" s="9"/>
      <c r="K4" s="9"/>
    </row>
    <row r="5" spans="1:11" ht="16.5" customHeight="1" x14ac:dyDescent="0.25">
      <c r="A5" s="201"/>
      <c r="B5" s="203" t="s">
        <v>32</v>
      </c>
      <c r="C5" s="203"/>
      <c r="D5" s="203" t="s">
        <v>33</v>
      </c>
      <c r="E5" s="203"/>
      <c r="F5" s="203" t="s">
        <v>34</v>
      </c>
      <c r="G5" s="203"/>
      <c r="H5" s="203" t="s">
        <v>35</v>
      </c>
      <c r="I5" s="203"/>
      <c r="J5" s="9"/>
      <c r="K5" s="9"/>
    </row>
    <row r="6" spans="1:11" ht="16.5" customHeight="1" x14ac:dyDescent="0.25">
      <c r="A6" s="66" t="s">
        <v>121</v>
      </c>
      <c r="B6" s="200">
        <v>0</v>
      </c>
      <c r="C6" s="200"/>
      <c r="D6" s="200">
        <v>0</v>
      </c>
      <c r="E6" s="200"/>
      <c r="F6" s="200">
        <v>0</v>
      </c>
      <c r="G6" s="200"/>
      <c r="H6" s="200">
        <v>0</v>
      </c>
      <c r="I6" s="200"/>
      <c r="J6" s="6" t="s">
        <v>123</v>
      </c>
      <c r="K6" s="9"/>
    </row>
    <row r="7" spans="1:11" ht="16.5" customHeight="1" x14ac:dyDescent="0.25">
      <c r="A7" s="66" t="s">
        <v>335</v>
      </c>
      <c r="B7" s="200">
        <v>0</v>
      </c>
      <c r="C7" s="200"/>
      <c r="D7" s="200">
        <v>0</v>
      </c>
      <c r="E7" s="200"/>
      <c r="F7" s="200">
        <v>0</v>
      </c>
      <c r="G7" s="200"/>
      <c r="H7" s="200">
        <v>0</v>
      </c>
      <c r="I7" s="200"/>
      <c r="J7" s="6" t="s">
        <v>124</v>
      </c>
      <c r="K7" s="9"/>
    </row>
    <row r="8" spans="1:11" ht="16.5" customHeight="1" x14ac:dyDescent="0.25">
      <c r="A8" s="66" t="s">
        <v>39</v>
      </c>
      <c r="B8" s="200">
        <v>0</v>
      </c>
      <c r="C8" s="200"/>
      <c r="D8" s="200">
        <v>0</v>
      </c>
      <c r="E8" s="200"/>
      <c r="F8" s="200">
        <v>0</v>
      </c>
      <c r="G8" s="200"/>
      <c r="H8" s="200">
        <v>0</v>
      </c>
      <c r="I8" s="200"/>
      <c r="J8" s="6" t="s">
        <v>125</v>
      </c>
      <c r="K8" s="9"/>
    </row>
    <row r="9" spans="1:11" ht="16.5" customHeight="1" x14ac:dyDescent="0.25">
      <c r="A9" s="67" t="s">
        <v>40</v>
      </c>
      <c r="B9" s="200">
        <v>0</v>
      </c>
      <c r="C9" s="200"/>
      <c r="D9" s="200">
        <v>0</v>
      </c>
      <c r="E9" s="200"/>
      <c r="F9" s="200">
        <v>0</v>
      </c>
      <c r="G9" s="200"/>
      <c r="H9" s="200">
        <v>0</v>
      </c>
      <c r="I9" s="200"/>
      <c r="J9" s="6" t="s">
        <v>125</v>
      </c>
      <c r="K9" s="9"/>
    </row>
    <row r="10" spans="1:11" ht="16.5" customHeight="1" x14ac:dyDescent="0.25">
      <c r="A10" s="67" t="s">
        <v>177</v>
      </c>
      <c r="B10" s="200">
        <v>0</v>
      </c>
      <c r="C10" s="200"/>
      <c r="D10" s="200">
        <v>0</v>
      </c>
      <c r="E10" s="200"/>
      <c r="F10" s="200">
        <v>0</v>
      </c>
      <c r="G10" s="200"/>
      <c r="H10" s="200">
        <v>0</v>
      </c>
      <c r="I10" s="200"/>
      <c r="J10" s="6" t="s">
        <v>125</v>
      </c>
      <c r="K10" s="9"/>
    </row>
    <row r="11" spans="1:11" ht="16.5" customHeight="1" x14ac:dyDescent="0.25">
      <c r="A11" s="66" t="s">
        <v>43</v>
      </c>
      <c r="B11" s="200" t="s">
        <v>44</v>
      </c>
      <c r="C11" s="200"/>
      <c r="D11" s="200" t="s">
        <v>44</v>
      </c>
      <c r="E11" s="200"/>
      <c r="F11" s="200" t="s">
        <v>44</v>
      </c>
      <c r="G11" s="200"/>
      <c r="H11" s="200" t="s">
        <v>44</v>
      </c>
      <c r="I11" s="200"/>
      <c r="J11" s="6" t="s">
        <v>123</v>
      </c>
      <c r="K11" s="9"/>
    </row>
    <row r="12" spans="1:11" ht="16.5" customHeight="1" x14ac:dyDescent="0.25">
      <c r="A12" s="66" t="s">
        <v>135</v>
      </c>
      <c r="B12" s="204" t="s">
        <v>44</v>
      </c>
      <c r="C12" s="205"/>
      <c r="D12" s="204" t="s">
        <v>44</v>
      </c>
      <c r="E12" s="205"/>
      <c r="F12" s="204" t="s">
        <v>44</v>
      </c>
      <c r="G12" s="205"/>
      <c r="H12" s="204" t="s">
        <v>44</v>
      </c>
      <c r="I12" s="205"/>
      <c r="J12" s="6" t="s">
        <v>123</v>
      </c>
      <c r="K12" s="9"/>
    </row>
    <row r="13" spans="1:11" ht="21.75" customHeight="1" x14ac:dyDescent="0.25">
      <c r="A13" s="66" t="s">
        <v>136</v>
      </c>
      <c r="B13" s="210" t="s">
        <v>44</v>
      </c>
      <c r="C13" s="211"/>
      <c r="D13" s="210" t="s">
        <v>44</v>
      </c>
      <c r="E13" s="211"/>
      <c r="F13" s="210" t="s">
        <v>44</v>
      </c>
      <c r="G13" s="211"/>
      <c r="H13" s="210" t="s">
        <v>44</v>
      </c>
      <c r="I13" s="211"/>
      <c r="J13" s="6" t="s">
        <v>123</v>
      </c>
      <c r="K13" s="9"/>
    </row>
    <row r="14" spans="1:11" ht="15.75" customHeight="1" x14ac:dyDescent="0.25">
      <c r="A14" s="66" t="s">
        <v>155</v>
      </c>
      <c r="B14" s="210" t="s">
        <v>10</v>
      </c>
      <c r="C14" s="211"/>
      <c r="D14" s="210" t="s">
        <v>10</v>
      </c>
      <c r="E14" s="211"/>
      <c r="F14" s="210" t="s">
        <v>10</v>
      </c>
      <c r="G14" s="211"/>
      <c r="H14" s="210" t="s">
        <v>10</v>
      </c>
      <c r="I14" s="211"/>
      <c r="J14" s="6" t="s">
        <v>123</v>
      </c>
      <c r="K14" s="9"/>
    </row>
    <row r="15" spans="1:11" ht="15.75" customHeight="1" x14ac:dyDescent="0.25">
      <c r="A15" s="66" t="s">
        <v>308</v>
      </c>
      <c r="B15" s="210" t="s">
        <v>44</v>
      </c>
      <c r="C15" s="211"/>
      <c r="D15" s="210" t="s">
        <v>44</v>
      </c>
      <c r="E15" s="211"/>
      <c r="F15" s="210" t="s">
        <v>44</v>
      </c>
      <c r="G15" s="211"/>
      <c r="H15" s="210" t="s">
        <v>44</v>
      </c>
      <c r="I15" s="211"/>
      <c r="J15" s="6" t="s">
        <v>123</v>
      </c>
      <c r="K15" s="9"/>
    </row>
    <row r="16" spans="1:11" ht="19.5" customHeight="1" x14ac:dyDescent="0.25">
      <c r="A16" s="212" t="s">
        <v>310</v>
      </c>
      <c r="B16" s="212"/>
      <c r="C16" s="212"/>
      <c r="D16" s="212"/>
      <c r="E16" s="212"/>
      <c r="F16" s="212"/>
      <c r="G16" s="212"/>
      <c r="H16" s="212"/>
      <c r="I16" s="212"/>
      <c r="K16" s="9"/>
    </row>
    <row r="17" spans="1:11" ht="45.75" customHeight="1" x14ac:dyDescent="0.25">
      <c r="A17" s="123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B17" s="213" t="s">
        <v>383</v>
      </c>
      <c r="C17" s="213"/>
      <c r="D17" s="213"/>
      <c r="E17" s="213"/>
      <c r="F17" s="213"/>
      <c r="G17" s="213"/>
      <c r="H17" s="213"/>
      <c r="I17" s="213"/>
      <c r="J17" s="9"/>
      <c r="K17" s="9"/>
    </row>
    <row r="18" spans="1:11" ht="16.5" customHeight="1" x14ac:dyDescent="0.25">
      <c r="A18" s="202" t="s">
        <v>137</v>
      </c>
      <c r="B18" s="222" t="s">
        <v>0</v>
      </c>
      <c r="C18" s="223"/>
      <c r="D18" s="223" t="s">
        <v>1</v>
      </c>
      <c r="E18" s="223"/>
      <c r="F18" s="223" t="s">
        <v>2</v>
      </c>
      <c r="G18" s="223"/>
      <c r="H18" s="223" t="s">
        <v>3</v>
      </c>
      <c r="I18" s="224"/>
      <c r="K18" s="9"/>
    </row>
    <row r="19" spans="1:11" ht="16.5" customHeight="1" x14ac:dyDescent="0.25">
      <c r="A19" s="202"/>
      <c r="B19" s="68" t="s">
        <v>6</v>
      </c>
      <c r="C19" s="69" t="s">
        <v>7</v>
      </c>
      <c r="D19" s="70" t="s">
        <v>6</v>
      </c>
      <c r="E19" s="69" t="s">
        <v>7</v>
      </c>
      <c r="F19" s="70" t="s">
        <v>6</v>
      </c>
      <c r="G19" s="69" t="s">
        <v>7</v>
      </c>
      <c r="H19" s="70" t="s">
        <v>6</v>
      </c>
      <c r="I19" s="68" t="s">
        <v>7</v>
      </c>
      <c r="K19" s="9"/>
    </row>
    <row r="20" spans="1:11" ht="16.5" customHeight="1" x14ac:dyDescent="0.25">
      <c r="A20" s="71" t="s">
        <v>82</v>
      </c>
      <c r="B20" s="71"/>
      <c r="C20" s="72"/>
      <c r="D20" s="73"/>
      <c r="E20" s="74"/>
      <c r="F20" s="73"/>
      <c r="G20" s="74"/>
      <c r="H20" s="73"/>
      <c r="I20" s="75"/>
      <c r="K20" s="9"/>
    </row>
    <row r="21" spans="1:11" ht="16.5" customHeight="1" x14ac:dyDescent="0.25">
      <c r="A21" s="44" t="s">
        <v>138</v>
      </c>
      <c r="B21" s="51">
        <f>IF(B7=0,0,B7-0.01)</f>
        <v>0</v>
      </c>
      <c r="C21" s="52">
        <f>IF(B21=0,0,B8*VLOOKUP(B6,Данные1!$B$5:$C$31,2,FALSE))</f>
        <v>0</v>
      </c>
      <c r="D21" s="51">
        <f>IF(D7=0,0,D7-0.01)</f>
        <v>0</v>
      </c>
      <c r="E21" s="52">
        <f>IF(D21=0,0,D8*VLOOKUP(D6,Данные1!$B$5:$C$31,2,FALSE))</f>
        <v>0</v>
      </c>
      <c r="F21" s="51">
        <f>IF(F7=0,0,F7-0.01)</f>
        <v>0</v>
      </c>
      <c r="G21" s="52">
        <f>IF(F21=0,0,F8*VLOOKUP(F6,Данные1!$B$5:$C$31,2,FALSE))</f>
        <v>0</v>
      </c>
      <c r="H21" s="53">
        <f>IF(H7=0,0,H7-0.01)</f>
        <v>0</v>
      </c>
      <c r="I21" s="54">
        <f>IF(H21=0,0,H8*VLOOKUP(H6,Данные1!$B$5:$C$31,2,FALSE))</f>
        <v>0</v>
      </c>
      <c r="K21" s="9"/>
    </row>
    <row r="22" spans="1:11" ht="16.5" customHeight="1" x14ac:dyDescent="0.25">
      <c r="A22" s="44" t="s">
        <v>4</v>
      </c>
      <c r="B22" s="51">
        <f>IF(AND(B6&gt;0,B11="да"),0,IF(AND(B6&gt;=0.1, B6&lt;=1.8), 1.8, IF(AND(B6&gt;1.8, B6&lt;=2), 2, IF(AND(B6&gt;2, B6&lt;=2.5), 2.5, IF(AND(B6&gt;2.5, B6&lt;=3), 3, 0)))))</f>
        <v>0</v>
      </c>
      <c r="C22" s="52">
        <f>IF(B22=0,0,IF(B8=0,0,IF(B8=1,2*2,IF(B10=0,(B8+1)*2-C23,(B8+1+B10)*2-C23))))</f>
        <v>0</v>
      </c>
      <c r="D22" s="51">
        <f>IF(AND(D6&gt;0,D11="да"),0,IF(AND(D6&gt;=0.1, D6&lt;=1.8), 1.8, IF(AND(D6&gt;1.8, D6&lt;=2), 2, IF(AND(D6&gt;2, D6&lt;=2.5), 2.5, IF(AND(D6&gt;2.5, D6&lt;=3), 3, 0)))))</f>
        <v>0</v>
      </c>
      <c r="E22" s="52">
        <f>IF(D22=0,0,IF(D8=0,0,IF(D8=1,2*2,IF(D10=0,(D8+1)*2-E23,(D8+1+D10)*2-E23))))</f>
        <v>0</v>
      </c>
      <c r="F22" s="51">
        <f>IF(AND(F6&gt;0,F11="да"),0,IF(AND(F6&gt;=0.1, F6&lt;=1.8), 1.8, IF(AND(F6&gt;1.8, F6&lt;=2), 2, IF(AND(F6&gt;2, F6&lt;=2.5), 2.5, IF(AND(F6&gt;2.5, F6&lt;=3), 3, 0)))))</f>
        <v>0</v>
      </c>
      <c r="G22" s="52">
        <f>IF(F22=0,0,IF(F8=0,0,IF(F8=1,2*2,IF(F10=0,(F8+1)*2-G23,(F8+1+F10)*2-G23))))</f>
        <v>0</v>
      </c>
      <c r="H22" s="51">
        <f>IF(AND(H6&gt;0,H11="да"),0,IF(AND(H6&gt;=0.1, H6&lt;=1.8), 1.8, IF(AND(H6&gt;1.8, H6&lt;=2), 2, IF(AND(H6&gt;2, H6&lt;=2.5), 2.5, IF(AND(H6&gt;2.5, H6&lt;=3), 3, 0)))))</f>
        <v>0</v>
      </c>
      <c r="I22" s="54">
        <f>IF(H22=0,0,IF(H8=0,0,IF(H8=1,2*2,IF(H10=0,(H8+1)*2-I23,(H8+1+H10)*2-I23))))</f>
        <v>0</v>
      </c>
      <c r="J22" s="86"/>
      <c r="K22" s="9"/>
    </row>
    <row r="23" spans="1:11" ht="16.5" customHeight="1" x14ac:dyDescent="0.25">
      <c r="A23" s="44" t="s">
        <v>8</v>
      </c>
      <c r="B23" s="51">
        <f>IF(OR(AND(B9=0,B10=0),B11="да"),0,IF(AND(B6&gt;=0.1, B6&lt;=1.8), 1.8, IF(AND(B6&gt;1.8, B6&lt;=2), 2, IF(AND(B6&gt;2, B6&lt;=2.5), 2.5, IF(AND(B6&gt;2.5, B6&lt;=3), 3, 0)))))</f>
        <v>0</v>
      </c>
      <c r="C23" s="52">
        <f>IF(B23=0,0,B9+B10*2)</f>
        <v>0</v>
      </c>
      <c r="D23" s="51">
        <f>IF(OR(AND(D9=0,D10=0),D11="да"),0,IF(AND(D6&gt;=0.1, D6&lt;=1.8), 1.8, IF(AND(D6&gt;1.8, D6&lt;=2), 2, IF(AND(D6&gt;2, D6&lt;=2.5), 2.5, IF(AND(D6&gt;2.5, D6&lt;=3), 3, 0)))))</f>
        <v>0</v>
      </c>
      <c r="E23" s="52">
        <f>IF(D23=0,0,D9+D10*2)</f>
        <v>0</v>
      </c>
      <c r="F23" s="51">
        <f>IF(OR(AND(F9=0,F10=0),F11="да"),0,IF(AND(F6&gt;=0.1, F6&lt;=1.8), 1.8, IF(AND(F6&gt;1.8, F6&lt;=2), 2, IF(AND(F6&gt;2, F6&lt;=2.5), 2.5, IF(AND(F6&gt;2.5, F6&lt;=3), 3, 0)))))</f>
        <v>0</v>
      </c>
      <c r="G23" s="52">
        <f>IF(F23=0,0,F9+F10*2)</f>
        <v>0</v>
      </c>
      <c r="H23" s="51">
        <f>IF(OR(AND(H9=0,H10=0),H11="да"),0,IF(AND(H6&gt;=0.1, H6&lt;=1.8), 1.8, IF(AND(H6&gt;1.8, H6&lt;=2), 2, IF(AND(H6&gt;2, H6&lt;=2.5), 2.5, IF(AND(H6&gt;2.5, H6&lt;=3), 3, 0)))))</f>
        <v>0</v>
      </c>
      <c r="I23" s="54">
        <f>IF(H23=0,0,H9+H10*2)</f>
        <v>0</v>
      </c>
      <c r="K23" s="9"/>
    </row>
    <row r="24" spans="1:11" ht="16.5" customHeight="1" x14ac:dyDescent="0.25">
      <c r="A24" s="44" t="s">
        <v>5</v>
      </c>
      <c r="B24" s="51">
        <f>IF(B8=0,0,IF(AND(B6&gt;=0.1, B6&lt;=1.8), 1.8, IF(AND(B6&gt;1.8, B6&lt;=2), 2, IF(AND(B6&gt;2, B6&lt;=2.5), 2.5, IF(AND(B6&gt;2.5, B6&lt;=3), 3, 0)))))</f>
        <v>0</v>
      </c>
      <c r="C24" s="52">
        <f>B8*(IF(AND(B7&gt;=0, B7&lt;=1.49), 0, IF(AND(B7&gt;1.5, B7&lt;=2), 1, IF(AND(B7&gt;2.01, B7&lt;=3), 2,0))))</f>
        <v>0</v>
      </c>
      <c r="D24" s="51">
        <f>IF(D8=0,0,IF(AND(D6&gt;=0.1, D6&lt;=1.8), 1.8, IF(AND(D6&gt;1.8, D6&lt;=2), 2, IF(AND(D6&gt;2, D6&lt;=2.5), 2.5, IF(AND(D6&gt;2.5, D6&lt;=3), 3, 0)))))</f>
        <v>0</v>
      </c>
      <c r="E24" s="52">
        <f>D8*(IF(AND(D7&gt;=0, D7&lt;=1.49), 0, IF(AND(D7&gt;1.5, D7&lt;=2), 1, IF(AND(D7&gt;2.01, D7&lt;=3), 2,0))))</f>
        <v>0</v>
      </c>
      <c r="F24" s="51">
        <f>IF(F8=0,0,IF(AND(F6&gt;=0.1, F6&lt;=1.8), 1.8, IF(AND(F6&gt;1.8, F6&lt;=2), 2, IF(AND(F6&gt;2, F6&lt;=2.5), 2.5, IF(AND(F6&gt;2.5, F6&lt;=3), 3, 0)))))</f>
        <v>0</v>
      </c>
      <c r="G24" s="52">
        <f>F8*(IF(AND(F7&gt;=0, F7&lt;=1.49), 0, IF(AND(F7&gt;1.5, F7&lt;=2), 1, IF(AND(F7&gt;2.01, F7&lt;=3), 2,0))))</f>
        <v>0</v>
      </c>
      <c r="H24" s="51">
        <f>IF(H8=0,0,IF(AND(H6&gt;=0.1, H6&lt;=1.8), 1.8, IF(AND(H6&gt;1.8, H6&lt;=2), 2, IF(AND(H6&gt;2, H6&lt;=2.5), 2.5, IF(AND(H6&gt;2.5, H6&lt;=3), 3, 0)))))</f>
        <v>0</v>
      </c>
      <c r="I24" s="54">
        <f>H8*(IF(AND(H7&gt;=0, H7&lt;=1.49), 0, IF(AND(H7&gt;1.5, H7&lt;=2), 1, IF(AND(H7&gt;2.01, H7&lt;=3), 2,0))))</f>
        <v>0</v>
      </c>
      <c r="K24" s="9"/>
    </row>
    <row r="25" spans="1:11" ht="16.5" customHeight="1" x14ac:dyDescent="0.25">
      <c r="A25" s="44" t="s">
        <v>64</v>
      </c>
      <c r="B25" s="51">
        <f>IF(B8=0,0,IF(AND(B6&gt;=0.1, B6&lt;=1.8), 1.8, IF(AND(B6&gt;1.8, B6&lt;=2), 2, IF(AND(B6&gt;2, B6&lt;=2.5), 2.5, IF(AND(B6&gt;2.5, B6&lt;=3), 3, 0)))))</f>
        <v>0</v>
      </c>
      <c r="C25" s="52">
        <f>2*B8</f>
        <v>0</v>
      </c>
      <c r="D25" s="51">
        <f>IF(D8=0,0,IF(AND(D6&gt;=0.1, D6&lt;=1.8), 1.8, IF(AND(D6&gt;1.8, D6&lt;=2), 2, IF(AND(D6&gt;2, D6&lt;=2.5), 2.5, IF(AND(D6&gt;2.5, D6&lt;=3), 3, 0)))))</f>
        <v>0</v>
      </c>
      <c r="E25" s="52">
        <f>2*D8</f>
        <v>0</v>
      </c>
      <c r="F25" s="51">
        <f>IF(F8=0,0,IF(AND(F6&gt;=0.1, F6&lt;=1.8), 1.8, IF(AND(F6&gt;1.8, F6&lt;=2), 2, IF(AND(F6&gt;2, F6&lt;=2.5), 2.5, IF(AND(F6&gt;2.5, F6&lt;=3), 3, 0)))))</f>
        <v>0</v>
      </c>
      <c r="G25" s="52">
        <f>2*F8</f>
        <v>0</v>
      </c>
      <c r="H25" s="51">
        <f>IF(H8=0,0,IF(AND(H6&gt;=0.1, H6&lt;=1.8), 1.8, IF(AND(H6&gt;1.8, H6&lt;=2), 2, IF(AND(H6&gt;2, H6&lt;=2.5), 2.5, IF(AND(H6&gt;2.5, H6&lt;=3), 3, 0)))))</f>
        <v>0</v>
      </c>
      <c r="I25" s="54">
        <f>2*H8</f>
        <v>0</v>
      </c>
      <c r="K25" s="9"/>
    </row>
    <row r="26" spans="1:11" ht="16.5" customHeight="1" x14ac:dyDescent="0.25">
      <c r="A26" s="44" t="s">
        <v>297</v>
      </c>
      <c r="B26" s="51">
        <f>IF(AND(B7&gt;=0.5, B7&lt;=2), 2, IF(AND(B7&gt;2, B7&lt;=2.5), 2.5, IF(AND(B7&gt;2.5, B7&lt;=3), 3,0)))</f>
        <v>0</v>
      </c>
      <c r="C26" s="52">
        <f>1*B8</f>
        <v>0</v>
      </c>
      <c r="D26" s="51">
        <f>IF(AND(D7&gt;=0.5, D7&lt;=2), 2, IF(AND(D7&gt;2, D7&lt;=2.5), 2.5, IF(AND(D7&gt;2.5, D7&lt;=3), 3,0)))</f>
        <v>0</v>
      </c>
      <c r="E26" s="52">
        <f>1*D8</f>
        <v>0</v>
      </c>
      <c r="F26" s="51">
        <f>IF(AND(F7&gt;=0.5, F7&lt;=2), 2, IF(AND(F7&gt;2, F7&lt;=2.5), 2.5, IF(AND(F7&gt;2.5, F7&lt;=3), 3,0)))</f>
        <v>0</v>
      </c>
      <c r="G26" s="52">
        <f>1*F8</f>
        <v>0</v>
      </c>
      <c r="H26" s="51">
        <f>IF(AND(H7&gt;=0.5, H7&lt;=2), 2, IF(AND(H7&gt;2, H7&lt;=2.5), 2.5, IF(AND(H7&gt;2.5, H7&lt;=3), 3,0)))</f>
        <v>0</v>
      </c>
      <c r="I26" s="54">
        <f>1*H8</f>
        <v>0</v>
      </c>
      <c r="K26" s="9"/>
    </row>
    <row r="27" spans="1:11" ht="16.5" customHeight="1" x14ac:dyDescent="0.25">
      <c r="A27" s="37" t="s">
        <v>156</v>
      </c>
      <c r="B27" s="55" t="s">
        <v>10</v>
      </c>
      <c r="C27" s="52">
        <f>IF(B11="да",0,(IF(B8=0,0,IF(B8=1,2,IF(B10=0,B8+1,B8+1+B10)))))</f>
        <v>0</v>
      </c>
      <c r="D27" s="55" t="s">
        <v>10</v>
      </c>
      <c r="E27" s="52">
        <f>IF(D11="да",0,(IF(D8=0,0,IF(D8=1,2,IF(D10=0,D8+1,D8+1+D10)))))</f>
        <v>0</v>
      </c>
      <c r="F27" s="55" t="s">
        <v>10</v>
      </c>
      <c r="G27" s="52">
        <f>IF(F11="да",0,(IF(F8=0,0,IF(F8=1,2,IF(F10=0,F8+1,F8+1+F10)))))</f>
        <v>0</v>
      </c>
      <c r="H27" s="56" t="s">
        <v>10</v>
      </c>
      <c r="I27" s="54">
        <f>IF(H11="да",0,(IF(H8=0,0,IF(H8=1,2,IF(H10=0,H8+1,H8+1+H10)))))</f>
        <v>0</v>
      </c>
      <c r="K27" s="9"/>
    </row>
    <row r="28" spans="1:11" ht="16.5" customHeight="1" x14ac:dyDescent="0.25">
      <c r="A28" s="44" t="s">
        <v>9</v>
      </c>
      <c r="B28" s="51" t="s">
        <v>10</v>
      </c>
      <c r="C28" s="52">
        <f>IF(B8=0,0,2)</f>
        <v>0</v>
      </c>
      <c r="D28" s="51" t="s">
        <v>10</v>
      </c>
      <c r="E28" s="52">
        <v>0</v>
      </c>
      <c r="F28" s="51" t="s">
        <v>10</v>
      </c>
      <c r="G28" s="52">
        <v>0</v>
      </c>
      <c r="H28" s="53" t="s">
        <v>10</v>
      </c>
      <c r="I28" s="54">
        <v>0</v>
      </c>
      <c r="K28" s="9"/>
    </row>
    <row r="29" spans="1:11" ht="16.5" customHeight="1" x14ac:dyDescent="0.25">
      <c r="A29" s="38" t="s">
        <v>12</v>
      </c>
      <c r="B29" s="55" t="str">
        <f>IF(C29=0,"-","5,5х19")</f>
        <v>-</v>
      </c>
      <c r="C29" s="52">
        <f>IF(B11="да",0,(C25*5))</f>
        <v>0</v>
      </c>
      <c r="D29" s="55" t="str">
        <f>IF(E29=0,"-","5,5х19")</f>
        <v>-</v>
      </c>
      <c r="E29" s="52">
        <f>IF(D11="да",0,(E25*5))</f>
        <v>0</v>
      </c>
      <c r="F29" s="55" t="str">
        <f>IF(G29=0,"-","5,5х19")</f>
        <v>-</v>
      </c>
      <c r="G29" s="52">
        <f>IF(F11="да",0,(G25*5))</f>
        <v>0</v>
      </c>
      <c r="H29" s="56" t="str">
        <f>IF(I29=0,"-","5,5х19")</f>
        <v>-</v>
      </c>
      <c r="I29" s="54">
        <f>IF(H11="да",0,(I25*5))</f>
        <v>0</v>
      </c>
      <c r="K29" s="9"/>
    </row>
    <row r="30" spans="1:11" ht="16.5" customHeight="1" x14ac:dyDescent="0.25">
      <c r="A30" s="44" t="s">
        <v>13</v>
      </c>
      <c r="B30" s="55" t="str">
        <f>IF(C30=0,"-","4,2x16")</f>
        <v>-</v>
      </c>
      <c r="C30" s="52">
        <f>IF(B15="нет",
IF(AND(B7&gt;=0, B7&lt;=1.49), (VLOOKUP(B6,Данные1!$B$5:$C$31,2,FALSE)*4+6)*B8,
IF(AND(B7&gt;1.5, B7&lt;=2), (VLOOKUP(B6,Данные1!$B$5:$C$31,2,FALSE)*5+6)*B8,
IF(AND(B7&gt;2.01, B7&lt;=3), (VLOOKUP(B6,Данные1!$B$5:$C$31,2,FALSE)*6+6)*B8,
0))),
IF(AND(B7&gt;=0, B7&lt;=1.49), 4*B8,
IF(AND(B7&gt;1.5, B7&lt;=2), (VLOOKUP(B6,Данные1!$B$5:$C$31,2,FALSE)*1+6)*B8,
IF(AND(B7&gt;2.01, B7&lt;=3), (VLOOKUP(B6,Данные1!$B$5:$C$31,2,FALSE)*2+6)*B8,
0))))</f>
        <v>0</v>
      </c>
      <c r="D30" s="55" t="str">
        <f>IF(E30=0,"-","4,2x16")</f>
        <v>-</v>
      </c>
      <c r="E30" s="52">
        <f>IF(D15="нет",
IF(AND(D7&gt;=0, D7&lt;=1.49), (VLOOKUP(D6,Данные1!$B$5:$C$31,2,FALSE)*4+6)*D8,
IF(AND(D7&gt;1.5, D7&lt;=2), (VLOOKUP(D6,Данные1!$B$5:$C$31,2,FALSE)*5+6)*D8,
IF(AND(D7&gt;2.01, D7&lt;=3), (VLOOKUP(D6,Данные1!$B$5:$C$31,2,FALSE)*6+6)*D8,
0))),
IF(AND(D7&gt;=0, D7&lt;=1.49), 4*D8,
IF(AND(D7&gt;1.5, D7&lt;=2), (VLOOKUP(D6,Данные1!$B$5:$C$31,2,FALSE)*1+6)*D8,
IF(AND(D7&gt;2.01, D7&lt;=3), (VLOOKUP(D6,Данные1!$B$5:$C$31,2,FALSE)*2+6)*D8,
0))))</f>
        <v>0</v>
      </c>
      <c r="F30" s="55" t="str">
        <f>IF(G30=0,"-","4,2x16")</f>
        <v>-</v>
      </c>
      <c r="G30" s="52">
        <f>IF(F15="нет",
IF(AND(F7&gt;=0, F7&lt;=1.49), (VLOOKUP(F6,Данные1!$B$5:$C$31,2,FALSE)*4+6)*F8,
IF(AND(F7&gt;1.5, F7&lt;=2), (VLOOKUP(F6,Данные1!$B$5:$C$31,2,FALSE)*5+6)*F8,
IF(AND(F7&gt;2.01, F7&lt;=3), (VLOOKUP(F6,Данные1!$B$5:$C$31,2,FALSE)*6+6)*F8,
0))),
IF(AND(F7&gt;=0, F7&lt;=1.49), 4*F8,
IF(AND(F7&gt;1.5, F7&lt;=2), (VLOOKUP(F6,Данные1!$B$5:$C$31,2,FALSE)*1+6)*F8,
IF(AND(F7&gt;2.01, F7&lt;=3), (VLOOKUP(F6,Данные1!$B$5:$C$31,2,FALSE)*2+6)*F8,
0))))</f>
        <v>0</v>
      </c>
      <c r="H30" s="56" t="str">
        <f>IF(I30=0,"-","4,2x16")</f>
        <v>-</v>
      </c>
      <c r="I30" s="54">
        <f>IF(H15="нет",
IF(AND(H7&gt;=0, H7&lt;=1.49), (VLOOKUP(H6,Данные1!$B$5:$C$31,2,FALSE)*4+6)*H8,
IF(AND(H7&gt;1.5, H7&lt;=2), (VLOOKUP(H6,Данные1!$B$5:$C$31,2,FALSE)*5+6)*H8,
IF(AND(H7&gt;2.01, H7&lt;=3), (VLOOKUP(H6,Данные1!$B$5:$C$31,2,FALSE)*6+6)*H8,
0))),
IF(AND(H7&gt;=0, H7&lt;=1.49), 4*H8,
IF(AND(H7&gt;1.5, H7&lt;=2), (VLOOKUP(H6,Данные1!$B$5:$C$31,2,FALSE)*1+6)*H8,
IF(AND(H7&gt;2.01, H7&lt;=3), (VLOOKUP(H6,Данные1!$B$5:$C$31,2,FALSE)*2+6)*H8,
0))))</f>
        <v>0</v>
      </c>
      <c r="K30" s="9"/>
    </row>
    <row r="31" spans="1:11" ht="16.5" customHeight="1" x14ac:dyDescent="0.25">
      <c r="A31" s="44" t="s">
        <v>260</v>
      </c>
      <c r="B31" s="55" t="str">
        <f>IF(C31=0,"-","7,5x52")</f>
        <v>-</v>
      </c>
      <c r="C31" s="52">
        <f>IF(B$8=0,0,IF(B$11="да",C25*5,0))</f>
        <v>0</v>
      </c>
      <c r="D31" s="55" t="str">
        <f>IF(E31=0,"-","7,5x52")</f>
        <v>-</v>
      </c>
      <c r="E31" s="52">
        <f>IF(D$8=0,0,IF(D$11="да",E25*5,0))</f>
        <v>0</v>
      </c>
      <c r="F31" s="55" t="str">
        <f>IF(G31=0,"-","7,5x52")</f>
        <v>-</v>
      </c>
      <c r="G31" s="52">
        <f>IF(F$8=0,0,IF(F$11="да",G25*5,0))</f>
        <v>0</v>
      </c>
      <c r="H31" s="55" t="str">
        <f>IF(I31=0,"-","7,5x52")</f>
        <v>-</v>
      </c>
      <c r="I31" s="54">
        <f>IF(H$8=0,0,IF(H$11="да",I25*5,0))</f>
        <v>0</v>
      </c>
      <c r="K31" s="9"/>
    </row>
    <row r="32" spans="1:11" ht="16.5" customHeight="1" x14ac:dyDescent="0.25">
      <c r="A32" s="44" t="s">
        <v>261</v>
      </c>
      <c r="B32" s="55"/>
      <c r="C32" s="52">
        <f>C31</f>
        <v>0</v>
      </c>
      <c r="D32" s="55"/>
      <c r="E32" s="52">
        <f>E31</f>
        <v>0</v>
      </c>
      <c r="F32" s="55"/>
      <c r="G32" s="52">
        <f>G31</f>
        <v>0</v>
      </c>
      <c r="H32" s="55"/>
      <c r="I32" s="54">
        <f>I31</f>
        <v>0</v>
      </c>
      <c r="K32" s="9"/>
    </row>
    <row r="33" spans="1:11" ht="16.5" customHeight="1" x14ac:dyDescent="0.25">
      <c r="A33" s="44" t="s">
        <v>198</v>
      </c>
      <c r="B33" s="55" t="str">
        <f>IF(C33="инд. расчет","инд. расчет","")</f>
        <v/>
      </c>
      <c r="C33" s="52">
        <f>IF(B15="нет",0,IF(AND(B15="да",B6&lt;=2),B8*2,(ROUNDUP(B6/2*B8,0)*2)))</f>
        <v>0</v>
      </c>
      <c r="D33" s="55" t="str">
        <f>IF(E33="инд. расчет","инд. расчет","")</f>
        <v/>
      </c>
      <c r="E33" s="52">
        <f>IF(D15="нет",0,IF(AND(D15="да",D6&lt;=2),D8*2,(ROUNDUP(D6/2*D8,0)*2)))</f>
        <v>0</v>
      </c>
      <c r="F33" s="55" t="str">
        <f>IF(G33="инд. расчет","инд. расчет","")</f>
        <v/>
      </c>
      <c r="G33" s="52">
        <f>IF(F15="нет",0,IF(AND(F15="да",F6&lt;=2),F8*2,(ROUNDUP(F6/2*F8,0)*2)))</f>
        <v>0</v>
      </c>
      <c r="H33" s="56" t="str">
        <f>IF(I33="инд. расчет","инд. расчет","")</f>
        <v/>
      </c>
      <c r="I33" s="54">
        <f>IF(H15="нет",0,IF(AND(H15="да",H6&lt;=2),H8*2,(ROUNDUP(H6/2*H8,0)*2)))</f>
        <v>0</v>
      </c>
      <c r="J33" s="50"/>
      <c r="K33" s="9"/>
    </row>
    <row r="34" spans="1:11" ht="24" customHeight="1" x14ac:dyDescent="0.25">
      <c r="A34" s="44"/>
      <c r="B34" s="206" t="str">
        <f>IF(B15="нет","Крепежный вкладыш не применяется","")</f>
        <v>Крепежный вкладыш не применяется</v>
      </c>
      <c r="C34" s="207"/>
      <c r="D34" s="206" t="str">
        <f>IF(D15="нет","Крепежный вкладыш не применяется","")</f>
        <v>Крепежный вкладыш не применяется</v>
      </c>
      <c r="E34" s="207"/>
      <c r="F34" s="206" t="str">
        <f>IF(F15="нет","Крепежный вкладыш не применяется","")</f>
        <v>Крепежный вкладыш не применяется</v>
      </c>
      <c r="G34" s="207"/>
      <c r="H34" s="208" t="str">
        <f>IF(H15="нет","Крепежный вкладыш не применяется","")</f>
        <v>Крепежный вкладыш не применяется</v>
      </c>
      <c r="I34" s="209"/>
      <c r="J34" s="50"/>
      <c r="K34" s="9"/>
    </row>
    <row r="35" spans="1:11" ht="16.5" customHeight="1" x14ac:dyDescent="0.25">
      <c r="A35" s="71" t="s">
        <v>15</v>
      </c>
      <c r="B35" s="76"/>
      <c r="C35" s="77"/>
      <c r="D35" s="78"/>
      <c r="E35" s="79"/>
      <c r="F35" s="80"/>
      <c r="G35" s="77"/>
      <c r="H35" s="80"/>
      <c r="I35" s="76"/>
      <c r="K35" s="9"/>
    </row>
    <row r="36" spans="1:11" ht="16.5" customHeight="1" x14ac:dyDescent="0.25">
      <c r="A36" s="44" t="str">
        <f>IF(B12="нет","-",B12)</f>
        <v>-</v>
      </c>
      <c r="B36" s="57"/>
      <c r="C36" s="52">
        <f>IF($B$12=$A36,1,0)</f>
        <v>0</v>
      </c>
      <c r="D36" s="58"/>
      <c r="E36" s="52"/>
      <c r="F36" s="58"/>
      <c r="G36" s="52"/>
      <c r="H36" s="58"/>
      <c r="I36" s="54"/>
      <c r="K36" s="9"/>
    </row>
    <row r="37" spans="1:11" ht="16.5" customHeight="1" x14ac:dyDescent="0.25">
      <c r="A37" s="44" t="str">
        <f>IF(D12="нет","-",D12)</f>
        <v>-</v>
      </c>
      <c r="B37" s="57"/>
      <c r="C37" s="52"/>
      <c r="D37" s="58"/>
      <c r="E37" s="52">
        <f>IF($D$12=$A37,1,0)</f>
        <v>0</v>
      </c>
      <c r="F37" s="58"/>
      <c r="G37" s="52"/>
      <c r="H37" s="58"/>
      <c r="I37" s="54"/>
      <c r="K37" s="9"/>
    </row>
    <row r="38" spans="1:11" ht="16.5" customHeight="1" x14ac:dyDescent="0.25">
      <c r="A38" s="44" t="str">
        <f>IF(F12="нет","-",F12)</f>
        <v>-</v>
      </c>
      <c r="B38" s="57"/>
      <c r="C38" s="52"/>
      <c r="D38" s="58"/>
      <c r="E38" s="52"/>
      <c r="F38" s="58"/>
      <c r="G38" s="52">
        <f>IF($F$12=$A38,1,0)</f>
        <v>0</v>
      </c>
      <c r="H38" s="58"/>
      <c r="I38" s="54"/>
      <c r="K38" s="9"/>
    </row>
    <row r="39" spans="1:11" ht="16.5" customHeight="1" x14ac:dyDescent="0.25">
      <c r="A39" s="44" t="str">
        <f>IF(H12="нет","-",H12)</f>
        <v>-</v>
      </c>
      <c r="B39" s="57"/>
      <c r="C39" s="52"/>
      <c r="D39" s="58"/>
      <c r="E39" s="52"/>
      <c r="F39" s="58"/>
      <c r="G39" s="52"/>
      <c r="H39" s="58"/>
      <c r="I39" s="54">
        <f>IF($H$12=$A39,1,0)</f>
        <v>0</v>
      </c>
      <c r="K39" s="9"/>
    </row>
    <row r="40" spans="1:11" ht="16.5" customHeight="1" x14ac:dyDescent="0.25">
      <c r="A40" s="71" t="s">
        <v>18</v>
      </c>
      <c r="B40" s="76"/>
      <c r="C40" s="77"/>
      <c r="D40" s="78"/>
      <c r="E40" s="77"/>
      <c r="F40" s="80"/>
      <c r="G40" s="77"/>
      <c r="H40" s="80"/>
      <c r="I40" s="76"/>
      <c r="K40" s="9"/>
    </row>
    <row r="41" spans="1:11" ht="16.5" customHeight="1" x14ac:dyDescent="0.25">
      <c r="A41" s="44" t="str">
        <f>IF(B13="нет","-",B13)</f>
        <v>-</v>
      </c>
      <c r="B41" s="57"/>
      <c r="C41" s="52">
        <f>IF(B$13=$A41,1,0)</f>
        <v>0</v>
      </c>
      <c r="D41" s="58"/>
      <c r="E41" s="52"/>
      <c r="F41" s="58"/>
      <c r="G41" s="52"/>
      <c r="H41" s="58"/>
      <c r="I41" s="54"/>
      <c r="K41" s="9"/>
    </row>
    <row r="42" spans="1:11" ht="16.5" customHeight="1" x14ac:dyDescent="0.25">
      <c r="A42" s="44" t="str">
        <f>IF(D13="нет","-",D13)</f>
        <v>-</v>
      </c>
      <c r="B42" s="57"/>
      <c r="C42" s="52"/>
      <c r="D42" s="58"/>
      <c r="E42" s="52">
        <f t="shared" ref="E42" si="0">IF(D$13=$A42,1,0)</f>
        <v>0</v>
      </c>
      <c r="F42" s="58"/>
      <c r="G42" s="52"/>
      <c r="H42" s="58"/>
      <c r="I42" s="54"/>
      <c r="K42" s="9"/>
    </row>
    <row r="43" spans="1:11" ht="16.5" customHeight="1" x14ac:dyDescent="0.25">
      <c r="A43" s="44" t="str">
        <f>IF(F13="нет","-",F13)</f>
        <v>-</v>
      </c>
      <c r="B43" s="57"/>
      <c r="C43" s="52"/>
      <c r="D43" s="58"/>
      <c r="E43" s="52"/>
      <c r="F43" s="58"/>
      <c r="G43" s="52">
        <f t="shared" ref="G43" si="1">IF(F$13=$A43,1,0)</f>
        <v>0</v>
      </c>
      <c r="H43" s="58"/>
      <c r="I43" s="54"/>
      <c r="K43" s="9"/>
    </row>
    <row r="44" spans="1:11" ht="16.5" customHeight="1" x14ac:dyDescent="0.25">
      <c r="A44" s="44" t="str">
        <f>IF(H13="нет","-",H13)</f>
        <v>-</v>
      </c>
      <c r="B44" s="57"/>
      <c r="C44" s="52"/>
      <c r="D44" s="58"/>
      <c r="E44" s="52"/>
      <c r="F44" s="58"/>
      <c r="G44" s="52"/>
      <c r="H44" s="58"/>
      <c r="I44" s="54">
        <f t="shared" ref="I44" si="2">IF(H$13=$A44,1,0)</f>
        <v>0</v>
      </c>
      <c r="K44" s="9"/>
    </row>
    <row r="45" spans="1:11" ht="16.5" customHeight="1" x14ac:dyDescent="0.25">
      <c r="A45" s="71" t="s">
        <v>38</v>
      </c>
      <c r="B45" s="76"/>
      <c r="C45" s="77"/>
      <c r="D45" s="81"/>
      <c r="E45" s="82"/>
      <c r="F45" s="80"/>
      <c r="G45" s="77"/>
      <c r="H45" s="80"/>
      <c r="I45" s="76"/>
      <c r="K45" s="11"/>
    </row>
    <row r="46" spans="1:11" ht="16.5" customHeight="1" x14ac:dyDescent="0.25">
      <c r="A46" s="44" t="s">
        <v>138</v>
      </c>
      <c r="B46" s="51" t="str">
        <f>IF(VLOOKUP(B12,Данные1!$A$35:$M$40,4,FALSE)="-","-",VLOOKUP(B12,Данные1!$A$35:$M$40,4,FALSE)+0.03)</f>
        <v>-</v>
      </c>
      <c r="C46" s="52">
        <f>VLOOKUP(B12,Данные1!$A$35:$M$40,3,FALSE)</f>
        <v>0</v>
      </c>
      <c r="D46" s="51" t="str">
        <f>IF(VLOOKUP(D12,Данные1!$A$35:$M$40,4,FALSE)="-","-",VLOOKUP(D12,Данные1!$A$35:$M$40,4,FALSE)+0.03)</f>
        <v>-</v>
      </c>
      <c r="E46" s="52">
        <f>VLOOKUP(D12,Данные1!$A$35:$M$40,3,FALSE)</f>
        <v>0</v>
      </c>
      <c r="F46" s="51" t="str">
        <f>IF(VLOOKUP(F12,Данные1!$A$35:$M$40,4,FALSE)="-","-",VLOOKUP(F12,Данные1!$A$35:$M$40,4,FALSE)+0.03)</f>
        <v>-</v>
      </c>
      <c r="G46" s="52">
        <f>VLOOKUP(F12,Данные1!$A$35:$M$40,3,FALSE)</f>
        <v>0</v>
      </c>
      <c r="H46" s="51" t="str">
        <f>IF(VLOOKUP(H12,Данные1!$A$35:$M$40,4,FALSE)="-","-",VLOOKUP(H12,Данные1!$A$35:$M$40,4,FALSE)+0.03)</f>
        <v>-</v>
      </c>
      <c r="I46" s="54">
        <f>VLOOKUP(H12,Данные1!$A$35:$M$40,3,FALSE)</f>
        <v>0</v>
      </c>
      <c r="K46" s="11"/>
    </row>
    <row r="47" spans="1:11" ht="16.5" customHeight="1" x14ac:dyDescent="0.25">
      <c r="A47" s="44" t="s">
        <v>64</v>
      </c>
      <c r="B47" s="51" t="str">
        <f>IF(AND(VLOOKUP(B12,Данные1!$A$35:$M$40,6,FALSE)&gt;=0.1,VLOOKUP(B12,Данные1!$A$35:$M$40,6,FALSE)&lt;=1.8),1.8,IF(AND(VLOOKUP(B12,Данные1!$A$35:$M$40,6,FALSE)&gt;1.8,VLOOKUP(B12,Данные1!$A$35:$M$40,6,FALSE)&lt;=2),2,IF(AND(VLOOKUP(B12,Данные1!$A$35:$M$40,6,FALSE)&gt;2,VLOOKUP(B12,Данные1!$A$35:$M$40,6,FALSE)&lt;=2.5),2.5,IF(AND(VLOOKUP(B12,Данные1!$A$35:$M$40,6,FALSE)&gt;2.5,VLOOKUP(B12,Данные1!$A$35:$M$40,6,FALSE)&lt;=3),3,"-"))))</f>
        <v>-</v>
      </c>
      <c r="C47" s="59">
        <f>VLOOKUP(B12,Данные1!$A$35:$M$40,5,FALSE)</f>
        <v>0</v>
      </c>
      <c r="D47" s="51" t="str">
        <f>IF(AND(VLOOKUP(D12,Данные1!$A$35:$M$40,6,FALSE)&gt;=0.1,VLOOKUP(D12,Данные1!$A$35:$M$40,6,FALSE)&lt;=1.8),1.8,IF(AND(VLOOKUP(D12,Данные1!$A$35:$M$40,6,FALSE)&gt;1.8,VLOOKUP(D12,Данные1!$A$35:$M$40,6,FALSE)&lt;=2),2,IF(AND(VLOOKUP(D12,Данные1!$A$35:$M$40,6,FALSE)&gt;2,VLOOKUP(D12,Данные1!$A$35:$M$40,6,FALSE)&lt;=2.5),2.5,IF(AND(VLOOKUP(D12,Данные1!$A$35:$M$40,6,FALSE)&gt;2.5,VLOOKUP(D12,Данные1!$A$35:$M$40,6,FALSE)&lt;=3),3,"-"))))</f>
        <v>-</v>
      </c>
      <c r="E47" s="59">
        <f>VLOOKUP(D12,Данные1!$A$35:$M$40,5,FALSE)</f>
        <v>0</v>
      </c>
      <c r="F47" s="51" t="str">
        <f>IF(AND(VLOOKUP(F12,Данные1!$A$35:$M$40,6,FALSE)&gt;=0.1,VLOOKUP(F12,Данные1!$A$35:$M$40,6,FALSE)&lt;=1.8),1.8,IF(AND(VLOOKUP(F12,Данные1!$A$35:$M$40,6,FALSE)&gt;1.8,VLOOKUP(F12,Данные1!$A$35:$M$40,6,FALSE)&lt;=2),2,IF(AND(VLOOKUP(F12,Данные1!$A$35:$M$40,6,FALSE)&gt;2,VLOOKUP(F12,Данные1!$A$35:$M$40,6,FALSE)&lt;=2.5),2.5,IF(AND(VLOOKUP(F12,Данные1!$A$35:$M$40,6,FALSE)&gt;2.5,VLOOKUP(F12,Данные1!$A$35:$M$40,6,FALSE)&lt;=3),3,"-"))))</f>
        <v>-</v>
      </c>
      <c r="G47" s="59">
        <f>VLOOKUP(F12,Данные1!$A$35:$M$40,5,FALSE)</f>
        <v>0</v>
      </c>
      <c r="H47" s="51" t="str">
        <f>IF(AND(VLOOKUP(H12,Данные1!$A$35:$M$40,6,FALSE)&gt;=0.1,VLOOKUP(H12,Данные1!$A$35:$M$40,6,FALSE)&lt;=1.8),1.8,IF(AND(VLOOKUP(H12,Данные1!$A$35:$M$40,6,FALSE)&gt;1.8,VLOOKUP(H12,Данные1!$A$35:$M$40,6,FALSE)&lt;=2),2,IF(AND(VLOOKUP(H12,Данные1!$A$35:$M$40,6,FALSE)&gt;2,VLOOKUP(H12,Данные1!$A$35:$M$40,6,FALSE)&lt;=2.5),2.5,IF(AND(VLOOKUP(H12,Данные1!$A$35:$M$40,6,FALSE)&gt;2.5,VLOOKUP(H12,Данные1!$A$35:$M$40,6,FALSE)&lt;=3),3,"-"))))</f>
        <v>-</v>
      </c>
      <c r="I47" s="51">
        <f>VLOOKUP(H12,Данные1!$A$35:$M$40,5,FALSE)</f>
        <v>0</v>
      </c>
      <c r="K47" s="11"/>
    </row>
    <row r="48" spans="1:11" ht="16.5" customHeight="1" x14ac:dyDescent="0.25">
      <c r="A48" s="44" t="s">
        <v>298</v>
      </c>
      <c r="B48" s="51" t="str">
        <f>IF(AND(VLOOKUP(B12,Данные1!$A$35:$M$40,8,FALSE)&gt;=0.5, VLOOKUP(B12,Данные1!$A$35:$M$40,8,FALSE)&lt;=2), 2, IF(AND(VLOOKUP(B12,Данные1!$A$35:$M$40,8,FALSE)&gt;2, VLOOKUP(B12,Данные1!$A$35:$M$40,8,FALSE)&lt;=2.5), 2.5, IF(AND(VLOOKUP(B12,Данные1!$A$35:$M$40,8,FALSE)&gt;2.5, VLOOKUP(B12,Данные1!$A$35:$M$40,8,FALSE)&lt;=3), 3,"-")))</f>
        <v>-</v>
      </c>
      <c r="C48" s="59">
        <f>VLOOKUP(B12,Данные1!$A$35:$M$40,7,FALSE)</f>
        <v>0</v>
      </c>
      <c r="D48" s="51" t="str">
        <f>IF(AND(VLOOKUP(D12,Данные1!$A$35:$M$40,8,FALSE)&gt;=0.5, VLOOKUP(D12,Данные1!$A$35:$M$40,8,FALSE)&lt;=2), 2, IF(AND(VLOOKUP(D12,Данные1!$A$35:$M$40,8,FALSE)&gt;2, VLOOKUP(D12,Данные1!$A$35:$M$40,8,FALSE)&lt;=2.5), 2.5, IF(AND(VLOOKUP(D12,Данные1!$A$35:$M$40,8,FALSE)&gt;2.5, VLOOKUP(D12,Данные1!$A$35:$M$40,8,FALSE)&lt;=3), 3,"-")))</f>
        <v>-</v>
      </c>
      <c r="E48" s="59">
        <f>VLOOKUP(D12,Данные1!$A$35:$M$40,7,FALSE)</f>
        <v>0</v>
      </c>
      <c r="F48" s="51" t="str">
        <f>IF(AND(VLOOKUP(F12,Данные1!$A$35:$M$40,8,FALSE)&gt;=0.5, VLOOKUP(F12,Данные1!$A$35:$M$40,8,FALSE)&lt;=2), 2, IF(AND(VLOOKUP(F12,Данные1!$A$35:$M$40,8,FALSE)&gt;2, VLOOKUP(F12,Данные1!$A$35:$M$40,8,FALSE)&lt;=2.5), 2.5, IF(AND(VLOOKUP(F12,Данные1!$A$35:$M$40,8,FALSE)&gt;2.5, VLOOKUP(F12,Данные1!$A$35:$M$40,8,FALSE)&lt;=3), 3,"-")))</f>
        <v>-</v>
      </c>
      <c r="G48" s="59">
        <f>VLOOKUP(F12,Данные1!$A$35:$M$40,7,FALSE)</f>
        <v>0</v>
      </c>
      <c r="H48" s="51" t="str">
        <f>IF(AND(VLOOKUP(H12,Данные1!$A$35:$M$40,8,FALSE)&gt;=0.5, VLOOKUP(H12,Данные1!$A$35:$M$40,8,FALSE)&lt;=2), 2, IF(AND(VLOOKUP(H12,Данные1!$A$35:$M$40,8,FALSE)&gt;2, VLOOKUP(H12,Данные1!$A$35:$M$40,8,FALSE)&lt;=2.5), 2.5, IF(AND(VLOOKUP(H12,Данные1!$A$35:$M$40,8,FALSE)&gt;2.5, VLOOKUP(H12,Данные1!$A$35:$M$40,8,FALSE)&lt;=3), 3,"-")))</f>
        <v>-</v>
      </c>
      <c r="I48" s="51">
        <f>VLOOKUP(H12,Данные1!$A$35:$M$40,7,FALSE)</f>
        <v>0</v>
      </c>
      <c r="K48" s="11"/>
    </row>
    <row r="49" spans="1:33" ht="16.5" customHeight="1" x14ac:dyDescent="0.25">
      <c r="A49" s="44" t="s">
        <v>12</v>
      </c>
      <c r="B49" s="51" t="str">
        <f>IF(C49=0,"-","5,5х19")</f>
        <v>-</v>
      </c>
      <c r="C49" s="52">
        <f>VLOOKUP(B12,Данные1!$A$35:$M$40,13,FALSE)</f>
        <v>0</v>
      </c>
      <c r="D49" s="53" t="str">
        <f>IF(E49=0,"-","5,5х19")</f>
        <v>-</v>
      </c>
      <c r="E49" s="52">
        <f>VLOOKUP(D12,Данные1!$A$35:$M$40,13,FALSE)</f>
        <v>0</v>
      </c>
      <c r="F49" s="53" t="str">
        <f>IF(G49=0,"-","5,5х19")</f>
        <v>-</v>
      </c>
      <c r="G49" s="52">
        <f>VLOOKUP(F12,Данные1!$A$35:$M$40,13,FALSE)</f>
        <v>0</v>
      </c>
      <c r="H49" s="53" t="str">
        <f>IF(I49=0,"-","5,5х19")</f>
        <v>-</v>
      </c>
      <c r="I49" s="54">
        <f>VLOOKUP(H12,Данные1!$A$35:$M$40,13,FALSE)</f>
        <v>0</v>
      </c>
      <c r="K49" s="11"/>
    </row>
    <row r="50" spans="1:33" ht="16.5" customHeight="1" x14ac:dyDescent="0.25">
      <c r="A50" s="38" t="s">
        <v>45</v>
      </c>
      <c r="B50" s="51" t="s">
        <v>10</v>
      </c>
      <c r="C50" s="52">
        <f>VLOOKUP(B12,Данные1!$A$35:$M$40,9,FALSE)</f>
        <v>0</v>
      </c>
      <c r="D50" s="53" t="s">
        <v>10</v>
      </c>
      <c r="E50" s="52">
        <f>VLOOKUP(D12,Данные1!$A$35:$M$40,9,FALSE)</f>
        <v>0</v>
      </c>
      <c r="F50" s="53" t="s">
        <v>10</v>
      </c>
      <c r="G50" s="52">
        <f>VLOOKUP(F12,Данные1!$A$35:$M$40,9,FALSE)</f>
        <v>0</v>
      </c>
      <c r="H50" s="53" t="s">
        <v>10</v>
      </c>
      <c r="I50" s="54">
        <f>VLOOKUP(H12,Данные1!$A$35:$M$40,9,FALSE)</f>
        <v>0</v>
      </c>
      <c r="K50" s="11"/>
    </row>
    <row r="51" spans="1:33" ht="16.5" customHeight="1" x14ac:dyDescent="0.25">
      <c r="A51" s="38" t="s">
        <v>47</v>
      </c>
      <c r="B51" s="51" t="s">
        <v>10</v>
      </c>
      <c r="C51" s="52">
        <f>VLOOKUP(B12,Данные1!$A$35:$M$40,10,FALSE)</f>
        <v>0</v>
      </c>
      <c r="D51" s="53" t="s">
        <v>10</v>
      </c>
      <c r="E51" s="52">
        <f>VLOOKUP(D12,Данные1!$A$35:$M$40,10,FALSE)</f>
        <v>0</v>
      </c>
      <c r="F51" s="53" t="s">
        <v>10</v>
      </c>
      <c r="G51" s="52">
        <f>VLOOKUP(F12,Данные1!$A$35:$M$40,10,FALSE)</f>
        <v>0</v>
      </c>
      <c r="H51" s="53" t="s">
        <v>10</v>
      </c>
      <c r="I51" s="54">
        <f>VLOOKUP(H12,Данные1!$A$35:$M$40,10,FALSE)</f>
        <v>0</v>
      </c>
      <c r="K51" s="11"/>
    </row>
    <row r="52" spans="1:33" ht="16.5" customHeight="1" x14ac:dyDescent="0.25">
      <c r="A52" s="38" t="s">
        <v>193</v>
      </c>
      <c r="B52" s="51" t="s">
        <v>10</v>
      </c>
      <c r="C52" s="52">
        <f>VLOOKUP(B12,Данные1!$A$35:$M$40,11,FALSE)</f>
        <v>0</v>
      </c>
      <c r="D52" s="53" t="s">
        <v>10</v>
      </c>
      <c r="E52" s="52">
        <f>VLOOKUP(D12,Данные1!$A$35:$M$40,11,FALSE)</f>
        <v>0</v>
      </c>
      <c r="F52" s="53" t="s">
        <v>10</v>
      </c>
      <c r="G52" s="52">
        <f>VLOOKUP(F12,Данные1!$A$35:$M$40,11,FALSE)</f>
        <v>0</v>
      </c>
      <c r="H52" s="53" t="s">
        <v>10</v>
      </c>
      <c r="I52" s="54">
        <f>VLOOKUP(H12,Данные1!$A$35:$M$40,11,FALSE)</f>
        <v>0</v>
      </c>
      <c r="K52" s="11"/>
    </row>
    <row r="53" spans="1:33" ht="16.5" customHeight="1" x14ac:dyDescent="0.25">
      <c r="A53" s="44" t="s">
        <v>198</v>
      </c>
      <c r="B53" s="51" t="str">
        <f>IF(C53="инд. расчет","инд. расчет","")</f>
        <v/>
      </c>
      <c r="C53" s="52">
        <f>IF(OR(B15="нет",B12="нет"),0,IF(AND(B15="да",C36=1,VLOOKUP(B12,Данные1!$A$36:$N$40,14,FALSE)&lt;=2),2,"инд. расчет"))</f>
        <v>0</v>
      </c>
      <c r="D53" s="51" t="str">
        <f>IF(E53="инд. расчет","инд. расчет","")</f>
        <v/>
      </c>
      <c r="E53" s="52">
        <f>IF(OR(D15="нет",D12="нет"),0,IF(AND(D15="да",E37=1,VLOOKUP(D12,Данные1!$A$36:$N$40,14,FALSE)&lt;=2),2,"инд. расчет"))</f>
        <v>0</v>
      </c>
      <c r="F53" s="51" t="str">
        <f>IF(G53="инд. расчет","инд. расчет","")</f>
        <v/>
      </c>
      <c r="G53" s="52">
        <f>IF(OR(F15="нет",F12="нет"),0,IF(AND(F15="да",G38=1,VLOOKUP(F12,Данные1!$A$36:$N$40,14,FALSE)&lt;=2),2,"инд. расчет"))</f>
        <v>0</v>
      </c>
      <c r="H53" s="51" t="str">
        <f>IF(I53="инд. расчет","инд. расчет","")</f>
        <v/>
      </c>
      <c r="I53" s="52">
        <f>IF(OR(H15="нет",H12="нет"),0,IF(AND(H15="да",I39=1,VLOOKUP(H12,Данные1!$A$36:$N$40,14,FALSE)&lt;=2),2,"инд. расчет"))</f>
        <v>0</v>
      </c>
      <c r="K53" s="11"/>
    </row>
    <row r="54" spans="1:33" ht="16.5" customHeight="1" x14ac:dyDescent="0.25">
      <c r="A54" s="71" t="s">
        <v>48</v>
      </c>
      <c r="B54" s="76"/>
      <c r="C54" s="77"/>
      <c r="D54" s="80"/>
      <c r="E54" s="77"/>
      <c r="F54" s="80"/>
      <c r="G54" s="77"/>
      <c r="H54" s="80"/>
      <c r="I54" s="76"/>
      <c r="K54" s="11"/>
    </row>
    <row r="55" spans="1:33" ht="16.5" customHeight="1" x14ac:dyDescent="0.25">
      <c r="A55" s="44" t="s">
        <v>138</v>
      </c>
      <c r="B55" s="51" t="str">
        <f>IF(C55=0,"-",VLOOKUP(B13,Данные1!$A$42:$M$65,4,FALSE)+0.03)</f>
        <v>-</v>
      </c>
      <c r="C55" s="52">
        <f>VLOOKUP(B13,Данные1!$A$42:$R$65,3,FALSE)</f>
        <v>0</v>
      </c>
      <c r="D55" s="51" t="str">
        <f>IF(E55=0,"-",VLOOKUP(D13,Данные1!$A$42:$M$65,4,FALSE)+0.03)</f>
        <v>-</v>
      </c>
      <c r="E55" s="52">
        <f>VLOOKUP(D13,Данные1!$A$42:$R$65,3,FALSE)</f>
        <v>0</v>
      </c>
      <c r="F55" s="51" t="str">
        <f>IF(G55=0,"-",VLOOKUP(F13,Данные1!$A$42:$M$65,4,FALSE)+0.03)</f>
        <v>-</v>
      </c>
      <c r="G55" s="52">
        <f>VLOOKUP(F13,Данные1!$A$42:$R$65,3,FALSE)</f>
        <v>0</v>
      </c>
      <c r="H55" s="51" t="str">
        <f>IF(I55=0,"-",VLOOKUP(H13,Данные1!$A$42:$M$65,4,FALSE)+0.03)</f>
        <v>-</v>
      </c>
      <c r="I55" s="54">
        <f>VLOOKUP(H13,Данные1!$A$42:$R$65,3,FALSE)</f>
        <v>0</v>
      </c>
      <c r="K55" s="11"/>
    </row>
    <row r="56" spans="1:33" ht="16.5" customHeight="1" x14ac:dyDescent="0.25">
      <c r="A56" s="44" t="s">
        <v>138</v>
      </c>
      <c r="B56" s="51" t="str">
        <f>IF(C56=0,"-",VLOOKUP(B13,Данные1!$A$42:$R$65,16,FALSE)+0.03)</f>
        <v>-</v>
      </c>
      <c r="C56" s="52">
        <f>VLOOKUP(B13,Данные1!$A$42:$R$65,15,FALSE)</f>
        <v>0</v>
      </c>
      <c r="D56" s="51" t="str">
        <f>IF(E56=0,"-",VLOOKUP(D13,Данные1!$A$42:$R$65,16,FALSE)+0.03)</f>
        <v>-</v>
      </c>
      <c r="E56" s="52">
        <f>VLOOKUP(D13,Данные1!$A$42:$R$65,15,FALSE)</f>
        <v>0</v>
      </c>
      <c r="F56" s="51" t="str">
        <f>IF(G56=0,"-",VLOOKUP(F13,Данные1!$A$42:$R$65,16,FALSE)+0.03)</f>
        <v>-</v>
      </c>
      <c r="G56" s="52">
        <f>VLOOKUP(F13,Данные1!$A$42:$R$65,15,FALSE)</f>
        <v>0</v>
      </c>
      <c r="H56" s="51" t="str">
        <f>IF(I56=0,"-",VLOOKUP(H13,Данные1!$A$42:$R$65,16,FALSE)+0.03)</f>
        <v>-</v>
      </c>
      <c r="I56" s="54">
        <f>VLOOKUP(H13,Данные1!$A$42:$R$65,15,FALSE)</f>
        <v>0</v>
      </c>
      <c r="K56" s="11"/>
    </row>
    <row r="57" spans="1:33" ht="16.5" customHeight="1" x14ac:dyDescent="0.25">
      <c r="A57" s="44" t="s">
        <v>64</v>
      </c>
      <c r="B57" s="51" t="str">
        <f>IF(B13="нет","-",IF(AND(VLOOKUP(B13,Данные1!$A$42:$M$65,6,FALSE)&gt;=0.1, VLOOKUP(B13,Данные1!$A$42:$M$65,6,FALSE)&lt;=1.8), 1.8, IF(AND(VLOOKUP(B13,Данные1!$A$42:$M$65,6,FALSE)&gt;1.8, VLOOKUP(B13,Данные1!$A$42:$M$65,6,FALSE)&lt;=2), 2, IF(AND(VLOOKUP(B13,Данные1!$A$42:$M$65,6,FALSE)&gt;2, VLOOKUP(B13,Данные1!$A$42:$M$65,6,FALSE)&lt;=2.5), 2.5, IF(AND(VLOOKUP(B13,Данные1!$A$42:$M$65,6,FALSE)&gt;2.5, VLOOKUP(B13,Данные1!$A$42:$M$65,6,FALSE)&lt;=3), 3, "-")))))</f>
        <v>-</v>
      </c>
      <c r="C57" s="52">
        <f>VLOOKUP(B13,Данные1!$A$42:$R$65,5,FALSE)</f>
        <v>0</v>
      </c>
      <c r="D57" s="51" t="str">
        <f>IF(D13="нет","-",IF(AND(VLOOKUP(D13,Данные1!$A$42:$M$65,6,FALSE)&gt;=0.1, VLOOKUP(D13,Данные1!$A$42:$M$65,6,FALSE)&lt;=1.8), 1.8, IF(AND(VLOOKUP(D13,Данные1!$A$42:$M$65,6,FALSE)&gt;1.8, VLOOKUP(D13,Данные1!$A$42:$M$65,6,FALSE)&lt;=2), 2, IF(AND(VLOOKUP(D13,Данные1!$A$42:$M$65,6,FALSE)&gt;2, VLOOKUP(D13,Данные1!$A$42:$M$65,6,FALSE)&lt;=2.5), 2.5, IF(AND(VLOOKUP(D13,Данные1!$A$42:$M$65,6,FALSE)&gt;2.5, VLOOKUP(D13,Данные1!$A$42:$M$65,6,FALSE)&lt;=3), 3, "-")))))</f>
        <v>-</v>
      </c>
      <c r="E57" s="52">
        <f>VLOOKUP(D13,Данные1!$A$42:$R$65,5,FALSE)</f>
        <v>0</v>
      </c>
      <c r="F57" s="51" t="str">
        <f>IF(F13="нет","-",IF(AND(VLOOKUP(F13,Данные1!$A$42:$M$65,6,FALSE)&gt;=0.1, VLOOKUP(F13,Данные1!$A$42:$M$65,6,FALSE)&lt;=1.8), 1.8, IF(AND(VLOOKUP(F13,Данные1!$A$42:$M$65,6,FALSE)&gt;1.8, VLOOKUP(F13,Данные1!$A$42:$M$65,6,FALSE)&lt;=2), 2, IF(AND(VLOOKUP(F13,Данные1!$A$42:$M$65,6,FALSE)&gt;2, VLOOKUP(F13,Данные1!$A$42:$M$65,6,FALSE)&lt;=2.5), 2.5, IF(AND(VLOOKUP(F13,Данные1!$A$42:$M$65,6,FALSE)&gt;2.5, VLOOKUP(F13,Данные1!$A$42:$M$65,6,FALSE)&lt;=3), 3, "-")))))</f>
        <v>-</v>
      </c>
      <c r="G57" s="52">
        <f>VLOOKUP(F13,Данные1!$A$42:$R$65,5,FALSE)</f>
        <v>0</v>
      </c>
      <c r="H57" s="51" t="str">
        <f>IF(H13="нет","-",IF(AND(VLOOKUP(H13,Данные1!$A$42:$M$65,6,FALSE)&gt;=0.1, VLOOKUP(H13,Данные1!$A$42:$M$65,6,FALSE)&lt;=1.8), 1.8, IF(AND(VLOOKUP(H13,Данные1!$A$42:$M$65,6,FALSE)&gt;1.8, VLOOKUP(H13,Данные1!$A$42:$M$65,6,FALSE)&lt;=2), 2, IF(AND(VLOOKUP(H13,Данные1!$A$42:$M$65,6,FALSE)&gt;2, VLOOKUP(H13,Данные1!$A$42:$M$65,6,FALSE)&lt;=2.5), 2.5, IF(AND(VLOOKUP(H13,Данные1!$A$42:$M$65,6,FALSE)&gt;2.5, VLOOKUP(H13,Данные1!$A$42:$M$65,6,FALSE)&lt;=3), 3, "-")))))</f>
        <v>-</v>
      </c>
      <c r="I57" s="54">
        <f>VLOOKUP(H13,Данные1!$A$42:$R$65,5,FALSE)</f>
        <v>0</v>
      </c>
      <c r="K57" s="11"/>
      <c r="R57" s="12"/>
      <c r="S57" s="6"/>
      <c r="T57" s="6"/>
      <c r="U57" s="6"/>
      <c r="V57" s="6"/>
      <c r="W57" s="6"/>
      <c r="X57" s="6"/>
      <c r="Y57" s="6"/>
      <c r="Z57" s="13"/>
      <c r="AA57" s="11"/>
      <c r="AB57" s="14"/>
      <c r="AC57" s="14"/>
      <c r="AD57" s="14"/>
    </row>
    <row r="58" spans="1:33" ht="16.5" customHeight="1" x14ac:dyDescent="0.25">
      <c r="A58" s="44" t="s">
        <v>298</v>
      </c>
      <c r="B58" s="51" t="str">
        <f>IF(AND(VLOOKUP(B13,Данные1!$A$42:$M$65,8,FALSE)&gt;=0.5, VLOOKUP(B13,Данные1!$A$42:$M$65,8,FALSE)&lt;=2), 2, IF(AND(VLOOKUP(B13,Данные1!$A$42:$M$65,8,FALSE)&gt;2, VLOOKUP(B13,Данные1!$A$42:$M$65,8,FALSE)&lt;=2.5), 2.5, IF(AND(VLOOKUP(B13,Данные1!$A$42:$M$65,8,FALSE)&gt;2.5, VLOOKUP(B13,Данные1!$A$42:$M$65,8,FALSE)&lt;=3), 3,"-")))</f>
        <v>-</v>
      </c>
      <c r="C58" s="52">
        <f>VLOOKUP(B13,Данные1!$A$42:$R$65,7,FALSE)</f>
        <v>0</v>
      </c>
      <c r="D58" s="51" t="str">
        <f>IF(AND(VLOOKUP(D13,Данные1!$A$42:$M$65,8,FALSE)&gt;=0.5, VLOOKUP(D13,Данные1!$A$42:$M$65,8,FALSE)&lt;=2), 2, IF(AND(VLOOKUP(D13,Данные1!$A$42:$M$65,8,FALSE)&gt;2, VLOOKUP(D13,Данные1!$A$42:$M$65,8,FALSE)&lt;=2.5), 2.5, IF(AND(VLOOKUP(D13,Данные1!$A$42:$M$65,8,FALSE)&gt;2.5, VLOOKUP(D13,Данные1!$A$42:$M$65,8,FALSE)&lt;=3), 3,"-")))</f>
        <v>-</v>
      </c>
      <c r="E58" s="52">
        <f>VLOOKUP(D13,Данные1!$A$42:$R$65,7,FALSE)</f>
        <v>0</v>
      </c>
      <c r="F58" s="51" t="str">
        <f>IF(AND(VLOOKUP(F13,Данные1!$A$42:$M$65,8,FALSE)&gt;=0.5, VLOOKUP(F13,Данные1!$A$42:$M$65,8,FALSE)&lt;=2), 2, IF(AND(VLOOKUP(F13,Данные1!$A$42:$M$65,8,FALSE)&gt;2, VLOOKUP(F13,Данные1!$A$42:$M$65,8,FALSE)&lt;=2.5), 2.5, IF(AND(VLOOKUP(F13,Данные1!$A$42:$M$65,8,FALSE)&gt;2.5, VLOOKUP(F13,Данные1!$A$42:$M$65,8,FALSE)&lt;=3), 3,"-")))</f>
        <v>-</v>
      </c>
      <c r="G58" s="52">
        <f>VLOOKUP(F13,Данные1!$A$42:$R$65,7,FALSE)</f>
        <v>0</v>
      </c>
      <c r="H58" s="51" t="str">
        <f>IF(AND(VLOOKUP(H13,Данные1!$A$42:$M$65,8,FALSE)&gt;=0.5, VLOOKUP(H13,Данные1!$A$42:$M$65,8,FALSE)&lt;=2), 2, IF(AND(VLOOKUP(H13,Данные1!$A$42:$M$65,8,FALSE)&gt;2, VLOOKUP(H13,Данные1!$A$42:$M$65,8,FALSE)&lt;=2.5), 2.5, IF(AND(VLOOKUP(H13,Данные1!$A$42:$M$65,8,FALSE)&gt;2.5, VLOOKUP(H13,Данные1!$A$42:$M$65,8,FALSE)&lt;=3), 3,"-")))</f>
        <v>-</v>
      </c>
      <c r="I58" s="54">
        <f>VLOOKUP(H13,Данные1!$A$42:$R$65,7,FALSE)</f>
        <v>0</v>
      </c>
      <c r="K58" s="11"/>
      <c r="R58" s="12"/>
      <c r="S58" s="6"/>
      <c r="T58" s="6"/>
      <c r="U58" s="6"/>
      <c r="V58" s="6"/>
      <c r="W58" s="6"/>
      <c r="X58" s="6"/>
      <c r="Y58" s="6"/>
      <c r="Z58" s="13"/>
      <c r="AA58" s="11"/>
      <c r="AB58" s="14"/>
      <c r="AC58" s="14"/>
      <c r="AD58" s="14"/>
    </row>
    <row r="59" spans="1:33" ht="16.5" customHeight="1" x14ac:dyDescent="0.25">
      <c r="A59" s="44" t="s">
        <v>298</v>
      </c>
      <c r="B59" s="51" t="str">
        <f>IF(C59=0,"-",IF(AND(VLOOKUP(B13,Данные1!$A$42:$R$65,18,FALSE)&gt;=0.5, VLOOKUP(B13,Данные1!$A$42:$R$65,18,FALSE)&lt;=2), 2, IF(AND(VLOOKUP(B13,Данные1!$A$42:$R$65,18,FALSE)&gt;2, VLOOKUP(B13,Данные1!$A$42:$R$65,18,FALSE)&lt;=2.5), 2.5, IF(AND(VLOOKUP(B13,Данные1!$A$42:$R$65,18,FALSE)&gt;2.5, VLOOKUP(B13,Данные1!$A$42:$R$65,18,FALSE)&lt;=3), 3,"-"))))</f>
        <v>-</v>
      </c>
      <c r="C59" s="52">
        <f>VLOOKUP(B13,Данные1!$A$42:$R$65,17,FALSE)</f>
        <v>0</v>
      </c>
      <c r="D59" s="51" t="str">
        <f>IF(E59=0,"-",IF(AND(VLOOKUP(D13,Данные1!$A$42:$R$65,18,FALSE)&gt;=0.5, VLOOKUP(D13,Данные1!$A$42:$R$65,18,FALSE)&lt;=2), 2, IF(AND(VLOOKUP(D13,Данные1!$A$42:$R$65,18,FALSE)&gt;2, VLOOKUP(D13,Данные1!$A$42:$R$65,18,FALSE)&lt;=2.5), 2.5, IF(AND(VLOOKUP(D13,Данные1!$A$42:$R$65,18,FALSE)&gt;2.5, VLOOKUP(D13,Данные1!$A$42:$R$65,18,FALSE)&lt;=3), 3,"-"))))</f>
        <v>-</v>
      </c>
      <c r="E59" s="52">
        <f>VLOOKUP(D13,Данные1!$A$42:$R$65,17,FALSE)</f>
        <v>0</v>
      </c>
      <c r="F59" s="51" t="str">
        <f>IF(G59=0,"-",IF(AND(VLOOKUP(F13,Данные1!$A$42:$R$65,18,FALSE)&gt;=0.5, VLOOKUP(F13,Данные1!$A$42:$R$65,18,FALSE)&lt;=2), 2, IF(AND(VLOOKUP(F13,Данные1!$A$42:$R$65,18,FALSE)&gt;2, VLOOKUP(F13,Данные1!$A$42:$R$65,18,FALSE)&lt;=2.5), 2.5, IF(AND(VLOOKUP(F13,Данные1!$A$42:$R$65,18,FALSE)&gt;2.5, VLOOKUP(F13,Данные1!$A$42:$R$65,18,FALSE)&lt;=3), 3,"-"))))</f>
        <v>-</v>
      </c>
      <c r="G59" s="52">
        <f>VLOOKUP(F13,Данные1!$A$42:$R$65,17,FALSE)</f>
        <v>0</v>
      </c>
      <c r="H59" s="51" t="str">
        <f>IF(I59=0,"-",IF(AND(VLOOKUP(H13,Данные1!$A$42:$R$65,18,FALSE)&gt;=0.5, VLOOKUP(H13,Данные1!$A$42:$R$65,18,FALSE)&lt;=2), 2, IF(AND(VLOOKUP(H13,Данные1!$A$42:$R$65,18,FALSE)&gt;2, VLOOKUP(H13,Данные1!$A$42:$R$65,18,FALSE)&lt;=2.5), 2.5, IF(AND(VLOOKUP(H13,Данные1!$A$42:$R$65,18,FALSE)&gt;2.5, VLOOKUP(H13,Данные1!$A$42:$R$65,18,FALSE)&lt;=3), 3,"-"))))</f>
        <v>-</v>
      </c>
      <c r="I59" s="54">
        <f>VLOOKUP(H13,Данные1!$A$42:$R$65,17,FALSE)</f>
        <v>0</v>
      </c>
      <c r="K59" s="11"/>
      <c r="R59" s="12"/>
      <c r="S59" s="6"/>
      <c r="T59" s="6"/>
      <c r="U59" s="6"/>
      <c r="V59" s="6"/>
      <c r="W59" s="6"/>
      <c r="X59" s="6"/>
      <c r="Y59" s="6"/>
      <c r="Z59" s="13"/>
      <c r="AA59" s="11"/>
      <c r="AB59" s="14"/>
      <c r="AC59" s="14"/>
      <c r="AD59" s="14"/>
    </row>
    <row r="60" spans="1:33" ht="16.5" customHeight="1" x14ac:dyDescent="0.25">
      <c r="A60" s="44" t="s">
        <v>12</v>
      </c>
      <c r="B60" s="51" t="str">
        <f>IF(C60=0,"-","5,5х19")</f>
        <v>-</v>
      </c>
      <c r="C60" s="52">
        <f>VLOOKUP(B13,Данные1!$A$42:$R$65,13,FALSE)</f>
        <v>0</v>
      </c>
      <c r="D60" s="51" t="str">
        <f>IF(E60=0,"-","5,5х19")</f>
        <v>-</v>
      </c>
      <c r="E60" s="52">
        <f>VLOOKUP(D13,Данные1!$A$42:$R$65,13,FALSE)</f>
        <v>0</v>
      </c>
      <c r="F60" s="51" t="str">
        <f>IF(G60=0,"-","5,5х19")</f>
        <v>-</v>
      </c>
      <c r="G60" s="52">
        <f>VLOOKUP(F13,Данные1!$A$42:$R$65,13,FALSE)</f>
        <v>0</v>
      </c>
      <c r="H60" s="51" t="str">
        <f>IF(I60=0,"-","5,5х19")</f>
        <v>-</v>
      </c>
      <c r="I60" s="54">
        <f>VLOOKUP(H13,Данные1!$A$42:$R$65,13,FALSE)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4"/>
      <c r="AA60" s="14"/>
      <c r="AB60" s="15"/>
      <c r="AC60" s="14"/>
      <c r="AD60" s="11"/>
      <c r="AE60" s="14"/>
      <c r="AF60" s="14"/>
      <c r="AG60" s="14"/>
    </row>
    <row r="61" spans="1:33" ht="16.5" customHeight="1" x14ac:dyDescent="0.25">
      <c r="A61" s="38" t="s">
        <v>45</v>
      </c>
      <c r="B61" s="51" t="s">
        <v>10</v>
      </c>
      <c r="C61" s="52">
        <f>VLOOKUP(B13,Данные1!$A$42:$R$65,9,FALSE)</f>
        <v>0</v>
      </c>
      <c r="D61" s="51" t="s">
        <v>10</v>
      </c>
      <c r="E61" s="52">
        <f>VLOOKUP(D13,Данные1!$A$42:$R$65,9,FALSE)</f>
        <v>0</v>
      </c>
      <c r="F61" s="51" t="s">
        <v>10</v>
      </c>
      <c r="G61" s="52">
        <f>VLOOKUP(F13,Данные1!$A$42:$R$65,9,FALSE)</f>
        <v>0</v>
      </c>
      <c r="H61" s="51" t="s">
        <v>10</v>
      </c>
      <c r="I61" s="54">
        <f>VLOOKUP(H13,Данные1!$A$42:$R$65,9,FALSE)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6"/>
      <c r="AA61" s="14"/>
      <c r="AB61" s="15"/>
      <c r="AC61" s="14"/>
      <c r="AD61" s="11"/>
      <c r="AE61" s="14"/>
      <c r="AF61" s="14"/>
      <c r="AG61" s="14"/>
    </row>
    <row r="62" spans="1:33" ht="16.5" customHeight="1" x14ac:dyDescent="0.25">
      <c r="A62" s="38" t="s">
        <v>47</v>
      </c>
      <c r="B62" s="51" t="s">
        <v>10</v>
      </c>
      <c r="C62" s="52">
        <f>VLOOKUP(B13,Данные1!$A$42:$R$65,10,FALSE)</f>
        <v>0</v>
      </c>
      <c r="D62" s="51" t="s">
        <v>10</v>
      </c>
      <c r="E62" s="52">
        <f>VLOOKUP(D13,Данные1!$A$42:$R$65,10,FALSE)</f>
        <v>0</v>
      </c>
      <c r="F62" s="51" t="s">
        <v>10</v>
      </c>
      <c r="G62" s="52">
        <f>VLOOKUP(F13,Данные1!$A$42:$R$65,10,FALSE)</f>
        <v>0</v>
      </c>
      <c r="H62" s="51" t="s">
        <v>10</v>
      </c>
      <c r="I62" s="54">
        <f>VLOOKUP(H13,Данные1!$A$42:$R$65,10,FALSE)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6"/>
      <c r="AA62" s="14"/>
      <c r="AB62" s="15"/>
      <c r="AC62" s="14"/>
      <c r="AD62" s="11"/>
      <c r="AE62" s="14"/>
      <c r="AF62" s="14"/>
      <c r="AG62" s="14"/>
    </row>
    <row r="63" spans="1:33" ht="16.5" customHeight="1" x14ac:dyDescent="0.25">
      <c r="A63" s="38" t="s">
        <v>193</v>
      </c>
      <c r="B63" s="51" t="s">
        <v>10</v>
      </c>
      <c r="C63" s="52">
        <f>VLOOKUP(B13,Данные1!$A$42:$R$65,11,FALSE)</f>
        <v>0</v>
      </c>
      <c r="D63" s="51" t="s">
        <v>10</v>
      </c>
      <c r="E63" s="52">
        <f>VLOOKUP(D13,Данные1!$A$42:$R$65,11,FALSE)</f>
        <v>0</v>
      </c>
      <c r="F63" s="51" t="s">
        <v>10</v>
      </c>
      <c r="G63" s="52">
        <f>VLOOKUP(F13,Данные1!$A$42:$R$65,11,FALSE)</f>
        <v>0</v>
      </c>
      <c r="H63" s="51" t="s">
        <v>10</v>
      </c>
      <c r="I63" s="54">
        <f>VLOOKUP(H13,Данные1!$A$42:$R$65,11,FALSE)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6"/>
      <c r="AA63" s="14"/>
      <c r="AB63" s="15"/>
      <c r="AC63" s="14"/>
      <c r="AD63" s="11"/>
      <c r="AE63" s="14"/>
      <c r="AF63" s="14"/>
      <c r="AG63" s="14"/>
    </row>
    <row r="64" spans="1:33" ht="16.5" customHeight="1" x14ac:dyDescent="0.25">
      <c r="A64" s="44" t="s">
        <v>5</v>
      </c>
      <c r="B64" s="51" t="str">
        <f>B57</f>
        <v>-</v>
      </c>
      <c r="C64" s="52">
        <f>VLOOKUP(B13,Данные1!$A$42:$S$65,19,FALSE)</f>
        <v>0</v>
      </c>
      <c r="D64" s="51" t="str">
        <f>D57</f>
        <v>-</v>
      </c>
      <c r="E64" s="52">
        <f>VLOOKUP(D13,Данные1!$A$42:$S$65,19,FALSE)</f>
        <v>0</v>
      </c>
      <c r="F64" s="51" t="str">
        <f>F57</f>
        <v>-</v>
      </c>
      <c r="G64" s="52">
        <f>VLOOKUP(F13,Данные1!$A$42:$S$65,19,FALSE)</f>
        <v>0</v>
      </c>
      <c r="H64" s="51" t="str">
        <f>H57</f>
        <v>-</v>
      </c>
      <c r="I64" s="54">
        <f>VLOOKUP(H13,Данные1!$A$42:$S$65,19,FALSE)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6"/>
      <c r="AA64" s="14"/>
      <c r="AB64" s="15"/>
      <c r="AC64" s="14"/>
      <c r="AD64" s="11"/>
      <c r="AE64" s="14"/>
      <c r="AF64" s="14"/>
      <c r="AG64" s="14"/>
    </row>
    <row r="65" spans="1:33" ht="16.5" customHeight="1" x14ac:dyDescent="0.25">
      <c r="A65" s="44" t="s">
        <v>198</v>
      </c>
      <c r="B65" s="51" t="str">
        <f>IF(C65="инд. расчет","инд. расчет","")</f>
        <v/>
      </c>
      <c r="C65" s="52">
        <f>IF(OR(B15="нет",B13="нет"),0,IF(AND(B15="да",C41=1,VLOOKUP(B13,Данные1!$A$43:$T$65,20,FALSE)&lt;=2),C57,"инд. расчет"))</f>
        <v>0</v>
      </c>
      <c r="D65" s="127"/>
      <c r="E65" s="52">
        <f>IF(OR(D15="нет",D13="нет"),0,IF(AND(D15="да",E42=1,VLOOKUP(D13,Данные1!$A$43:$T$65,20,FALSE)&lt;=2),E57,"инд. расчет"))</f>
        <v>0</v>
      </c>
      <c r="F65" s="127"/>
      <c r="G65" s="52">
        <f>IF(OR(F15="нет",F13="нет"),0,IF(AND(F15="да",G43=1,VLOOKUP(F13,Данные1!$A$43:$T$65,20,FALSE)&lt;=2),G57,"инд. расчет"))</f>
        <v>0</v>
      </c>
      <c r="H65" s="127"/>
      <c r="I65" s="54">
        <f>IF(OR(H15="нет",H13="нет"),0,IF(AND(H15="да",I44=1,VLOOKUP(H13,Данные1!$A$43:$T$65,20,FALSE)&lt;=2),I57,"инд. расчет"))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6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71" t="s">
        <v>206</v>
      </c>
      <c r="B66" s="76"/>
      <c r="C66" s="77"/>
      <c r="D66" s="80"/>
      <c r="E66" s="77"/>
      <c r="F66" s="80"/>
      <c r="G66" s="77"/>
      <c r="H66" s="80"/>
      <c r="I66" s="76"/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s="93" customFormat="1" ht="16.5" customHeight="1" x14ac:dyDescent="0.25">
      <c r="A67" s="38" t="s">
        <v>12</v>
      </c>
      <c r="B67" s="55" t="s">
        <v>173</v>
      </c>
      <c r="C67" s="52">
        <f>C29+C49+C60</f>
        <v>0</v>
      </c>
      <c r="D67" s="55" t="s">
        <v>173</v>
      </c>
      <c r="E67" s="52">
        <f>E29+E49+E60</f>
        <v>0</v>
      </c>
      <c r="F67" s="55" t="s">
        <v>173</v>
      </c>
      <c r="G67" s="52">
        <f>G29+G49+G60</f>
        <v>0</v>
      </c>
      <c r="H67" s="55" t="s">
        <v>173</v>
      </c>
      <c r="I67" s="54">
        <f>I29+I49+I60</f>
        <v>0</v>
      </c>
      <c r="K67" s="90"/>
      <c r="R67" s="94"/>
      <c r="S67" s="95"/>
      <c r="T67" s="95"/>
      <c r="U67" s="95"/>
      <c r="V67" s="95"/>
      <c r="W67" s="95"/>
      <c r="X67" s="95"/>
      <c r="Y67" s="95"/>
      <c r="Z67" s="96"/>
      <c r="AA67" s="97"/>
      <c r="AB67" s="98"/>
      <c r="AC67" s="97"/>
      <c r="AD67" s="90"/>
      <c r="AE67" s="97"/>
      <c r="AF67" s="97"/>
      <c r="AG67" s="97"/>
    </row>
    <row r="68" spans="1:33" s="93" customFormat="1" ht="16.5" customHeight="1" x14ac:dyDescent="0.25">
      <c r="A68" s="44" t="s">
        <v>13</v>
      </c>
      <c r="B68" s="55" t="s">
        <v>175</v>
      </c>
      <c r="C68" s="52">
        <f>C30</f>
        <v>0</v>
      </c>
      <c r="D68" s="55" t="s">
        <v>175</v>
      </c>
      <c r="E68" s="52">
        <f>E30</f>
        <v>0</v>
      </c>
      <c r="F68" s="55" t="s">
        <v>175</v>
      </c>
      <c r="G68" s="52">
        <f>G30</f>
        <v>0</v>
      </c>
      <c r="H68" s="55" t="s">
        <v>175</v>
      </c>
      <c r="I68" s="54">
        <f>I30</f>
        <v>0</v>
      </c>
      <c r="K68" s="90"/>
      <c r="R68" s="94"/>
      <c r="S68" s="95"/>
      <c r="T68" s="95"/>
      <c r="U68" s="95"/>
      <c r="V68" s="95"/>
      <c r="W68" s="95"/>
      <c r="X68" s="95"/>
      <c r="Y68" s="95"/>
      <c r="Z68" s="96"/>
      <c r="AA68" s="97"/>
      <c r="AB68" s="98"/>
      <c r="AC68" s="97"/>
      <c r="AD68" s="90"/>
      <c r="AE68" s="97"/>
      <c r="AF68" s="97"/>
      <c r="AG68" s="97"/>
    </row>
    <row r="69" spans="1:33" s="93" customFormat="1" ht="16.5" customHeight="1" x14ac:dyDescent="0.25">
      <c r="A69" s="44" t="s">
        <v>171</v>
      </c>
      <c r="B69" s="55" t="s">
        <v>174</v>
      </c>
      <c r="C69" s="52">
        <f>C31</f>
        <v>0</v>
      </c>
      <c r="D69" s="55" t="s">
        <v>174</v>
      </c>
      <c r="E69" s="52">
        <f>E31</f>
        <v>0</v>
      </c>
      <c r="F69" s="55" t="s">
        <v>174</v>
      </c>
      <c r="G69" s="52">
        <f>G31</f>
        <v>0</v>
      </c>
      <c r="H69" s="55" t="s">
        <v>174</v>
      </c>
      <c r="I69" s="54">
        <f>I31</f>
        <v>0</v>
      </c>
      <c r="K69" s="90"/>
      <c r="R69" s="94"/>
      <c r="S69" s="95"/>
      <c r="T69" s="95"/>
      <c r="U69" s="95"/>
      <c r="V69" s="95"/>
      <c r="W69" s="95"/>
      <c r="X69" s="95"/>
      <c r="Y69" s="95"/>
      <c r="Z69" s="96"/>
      <c r="AA69" s="97"/>
      <c r="AB69" s="98"/>
      <c r="AC69" s="97"/>
      <c r="AD69" s="90"/>
      <c r="AE69" s="97"/>
      <c r="AF69" s="97"/>
      <c r="AG69" s="97"/>
    </row>
    <row r="70" spans="1:33" s="93" customFormat="1" ht="16.5" customHeight="1" x14ac:dyDescent="0.25">
      <c r="A70" s="44" t="s">
        <v>51</v>
      </c>
      <c r="B70" s="55"/>
      <c r="C70" s="52">
        <f>C32</f>
        <v>0</v>
      </c>
      <c r="D70" s="55"/>
      <c r="E70" s="52">
        <f>E32</f>
        <v>0</v>
      </c>
      <c r="F70" s="55"/>
      <c r="G70" s="52">
        <f>G32</f>
        <v>0</v>
      </c>
      <c r="H70" s="55"/>
      <c r="I70" s="54">
        <f>I32</f>
        <v>0</v>
      </c>
      <c r="K70" s="90"/>
      <c r="R70" s="94"/>
      <c r="S70" s="95"/>
      <c r="T70" s="95"/>
      <c r="U70" s="95"/>
      <c r="V70" s="95"/>
      <c r="W70" s="95"/>
      <c r="X70" s="95"/>
      <c r="Y70" s="95"/>
      <c r="Z70" s="96"/>
      <c r="AA70" s="97"/>
      <c r="AB70" s="98"/>
      <c r="AC70" s="97"/>
      <c r="AD70" s="90"/>
      <c r="AE70" s="97"/>
      <c r="AF70" s="97"/>
      <c r="AG70" s="97"/>
    </row>
    <row r="71" spans="1:33" ht="16.5" customHeight="1" x14ac:dyDescent="0.25">
      <c r="A71" s="21"/>
      <c r="B71" s="84"/>
      <c r="C71" s="85"/>
      <c r="D71" s="84"/>
      <c r="E71" s="85"/>
      <c r="F71" s="84"/>
      <c r="G71" s="85"/>
      <c r="H71" s="84"/>
      <c r="I71" s="85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ht="12.75" customHeight="1" x14ac:dyDescent="0.25">
      <c r="A72" s="40"/>
      <c r="B72" s="39"/>
      <c r="C72" s="11"/>
      <c r="D72" s="11"/>
      <c r="E72" s="11"/>
      <c r="F72" s="11"/>
      <c r="G72" s="11"/>
      <c r="H72" s="11"/>
      <c r="I72" s="11"/>
      <c r="J72" s="40"/>
      <c r="K72" s="11"/>
    </row>
    <row r="73" spans="1:33" ht="19.5" customHeight="1" x14ac:dyDescent="0.25">
      <c r="A73" s="228" t="s">
        <v>128</v>
      </c>
      <c r="B73" s="228"/>
      <c r="C73" s="228"/>
      <c r="D73" s="228"/>
      <c r="E73" s="228"/>
      <c r="F73" s="228"/>
      <c r="G73" s="228"/>
      <c r="H73" s="228"/>
      <c r="I73" s="228"/>
      <c r="J73" s="40"/>
      <c r="K73" s="11"/>
    </row>
    <row r="74" spans="1:33" ht="27" customHeight="1" x14ac:dyDescent="0.25">
      <c r="A74" s="219" t="s">
        <v>208</v>
      </c>
      <c r="B74" s="220"/>
      <c r="C74" s="220"/>
      <c r="D74" s="220"/>
      <c r="E74" s="220"/>
      <c r="F74" s="220"/>
      <c r="G74" s="220"/>
      <c r="H74" s="220"/>
      <c r="I74" s="221"/>
      <c r="J74" s="12"/>
    </row>
    <row r="75" spans="1:33" ht="27" customHeight="1" x14ac:dyDescent="0.25">
      <c r="A75" s="219" t="s">
        <v>209</v>
      </c>
      <c r="B75" s="220"/>
      <c r="C75" s="220"/>
      <c r="D75" s="220"/>
      <c r="E75" s="220"/>
      <c r="F75" s="220"/>
      <c r="G75" s="220"/>
      <c r="H75" s="220"/>
      <c r="I75" s="221"/>
      <c r="J75" s="12"/>
    </row>
    <row r="76" spans="1:33" ht="27" customHeight="1" x14ac:dyDescent="0.25">
      <c r="A76" s="197" t="s">
        <v>49</v>
      </c>
      <c r="B76" s="198"/>
      <c r="C76" s="198"/>
      <c r="D76" s="198"/>
      <c r="E76" s="198"/>
      <c r="F76" s="198"/>
      <c r="G76" s="198"/>
      <c r="H76" s="198"/>
      <c r="I76" s="199"/>
      <c r="J76" s="17"/>
      <c r="K76" s="17"/>
    </row>
    <row r="77" spans="1:33" ht="27" customHeight="1" x14ac:dyDescent="0.25">
      <c r="A77" s="197" t="s">
        <v>129</v>
      </c>
      <c r="B77" s="198"/>
      <c r="C77" s="198"/>
      <c r="D77" s="198"/>
      <c r="E77" s="198"/>
      <c r="F77" s="198"/>
      <c r="G77" s="198"/>
      <c r="H77" s="198"/>
      <c r="I77" s="199"/>
      <c r="J77" s="18"/>
      <c r="K77" s="18"/>
    </row>
    <row r="78" spans="1:33" ht="27" customHeight="1" x14ac:dyDescent="0.25">
      <c r="A78" s="197" t="s">
        <v>50</v>
      </c>
      <c r="B78" s="198"/>
      <c r="C78" s="198"/>
      <c r="D78" s="198"/>
      <c r="E78" s="198"/>
      <c r="F78" s="198"/>
      <c r="G78" s="198"/>
      <c r="H78" s="198"/>
      <c r="I78" s="199"/>
      <c r="J78" s="41"/>
      <c r="K78" s="36"/>
      <c r="L78" s="19"/>
      <c r="M78" s="19"/>
    </row>
    <row r="79" spans="1:33" ht="27" customHeight="1" x14ac:dyDescent="0.25">
      <c r="A79" s="197" t="s">
        <v>207</v>
      </c>
      <c r="B79" s="198"/>
      <c r="C79" s="198"/>
      <c r="D79" s="198"/>
      <c r="E79" s="198"/>
      <c r="F79" s="198"/>
      <c r="G79" s="198"/>
      <c r="H79" s="198"/>
      <c r="I79" s="199"/>
      <c r="J79" s="41"/>
      <c r="K79" s="36"/>
      <c r="L79" s="19"/>
      <c r="M79" s="19"/>
    </row>
    <row r="80" spans="1:33" ht="27" customHeight="1" x14ac:dyDescent="0.25">
      <c r="A80" s="197" t="s">
        <v>130</v>
      </c>
      <c r="B80" s="198"/>
      <c r="C80" s="198"/>
      <c r="D80" s="198"/>
      <c r="E80" s="198"/>
      <c r="F80" s="198"/>
      <c r="G80" s="198"/>
      <c r="H80" s="198"/>
      <c r="I80" s="199"/>
      <c r="J80" s="41"/>
      <c r="K80" s="36"/>
    </row>
    <row r="81" spans="1:13" ht="272.25" customHeight="1" x14ac:dyDescent="0.25">
      <c r="A81" s="225" t="s">
        <v>52</v>
      </c>
      <c r="B81" s="226"/>
      <c r="C81" s="226"/>
      <c r="D81" s="226"/>
      <c r="E81" s="226"/>
      <c r="F81" s="226"/>
      <c r="G81" s="226"/>
      <c r="H81" s="226"/>
      <c r="I81" s="227"/>
      <c r="J81" s="41"/>
      <c r="K81" s="36"/>
      <c r="L81" s="19"/>
      <c r="M81" s="19"/>
    </row>
    <row r="82" spans="1:13" ht="1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41"/>
      <c r="K82" s="36"/>
    </row>
    <row r="83" spans="1:13" ht="12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41"/>
      <c r="K83" s="36"/>
      <c r="L83" s="19"/>
      <c r="M83" s="19"/>
    </row>
    <row r="84" spans="1:13" ht="12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41"/>
      <c r="K84" s="36"/>
    </row>
    <row r="85" spans="1:13" ht="1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41"/>
      <c r="K85" s="36"/>
      <c r="L85" s="19"/>
      <c r="M85" s="19"/>
    </row>
    <row r="86" spans="1:13" ht="12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41"/>
      <c r="K86" s="36"/>
    </row>
    <row r="87" spans="1:13" ht="12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41"/>
      <c r="K87" s="36"/>
    </row>
    <row r="88" spans="1:13" ht="12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41"/>
      <c r="K88" s="36"/>
    </row>
    <row r="89" spans="1:13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41"/>
      <c r="K89" s="36"/>
      <c r="L89" s="19"/>
      <c r="M89" s="19"/>
    </row>
    <row r="90" spans="1:13" ht="12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41"/>
      <c r="K90" s="36"/>
    </row>
    <row r="91" spans="1:13" ht="12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41"/>
      <c r="K91" s="36"/>
      <c r="L91" s="19"/>
      <c r="M91" s="19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41"/>
      <c r="K92" s="36"/>
      <c r="L92" s="19"/>
      <c r="M92" s="19"/>
    </row>
    <row r="93" spans="1:13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41"/>
      <c r="K93" s="36"/>
    </row>
    <row r="94" spans="1:13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41"/>
      <c r="K94" s="36"/>
    </row>
    <row r="95" spans="1:13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41"/>
      <c r="K95" s="36"/>
    </row>
    <row r="96" spans="1:13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41"/>
      <c r="K96" s="36"/>
    </row>
    <row r="97" spans="1:11" ht="12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42"/>
      <c r="K97" s="11"/>
    </row>
    <row r="98" spans="1:1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43"/>
      <c r="K98" s="11"/>
    </row>
    <row r="99" spans="1:11" ht="1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43"/>
      <c r="K99" s="11"/>
    </row>
    <row r="100" spans="1:11" ht="12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43"/>
    </row>
    <row r="101" spans="1:11" ht="12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43"/>
    </row>
    <row r="102" spans="1:1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43"/>
    </row>
    <row r="103" spans="1:11" ht="18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12"/>
      <c r="K103" s="10"/>
    </row>
    <row r="104" spans="1:11" ht="12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12"/>
      <c r="K104" s="22"/>
    </row>
    <row r="105" spans="1:11" ht="12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12"/>
      <c r="K105" s="22"/>
    </row>
    <row r="106" spans="1:11" ht="12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12"/>
      <c r="K106" s="22"/>
    </row>
    <row r="107" spans="1:11" ht="12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12"/>
      <c r="K107" s="22"/>
    </row>
    <row r="108" spans="1:11" ht="12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12"/>
      <c r="K108" s="8"/>
    </row>
    <row r="109" spans="1:11" ht="11.2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12"/>
    </row>
    <row r="110" spans="1:11" ht="12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11" ht="12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K111" s="25"/>
    </row>
    <row r="112" spans="1:11" ht="12.75" customHeight="1" x14ac:dyDescent="0.25">
      <c r="K112" s="26"/>
    </row>
    <row r="113" spans="1:8" ht="12.75" customHeight="1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ht="12.75" customHeight="1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ht="12.75" customHeight="1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ht="12.75" customHeight="1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ht="12.75" customHeight="1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ht="12.75" customHeight="1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ht="12.75" customHeight="1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ht="12.75" customHeight="1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ht="12.75" customHeight="1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ht="12.75" customHeight="1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ht="12.75" customHeight="1" x14ac:dyDescent="0.25">
      <c r="H126" s="12"/>
    </row>
    <row r="127" spans="1:8" ht="12.75" customHeight="1" x14ac:dyDescent="0.25">
      <c r="H127" s="12"/>
    </row>
    <row r="128" spans="1:8" x14ac:dyDescent="0.25">
      <c r="H128" s="12"/>
    </row>
    <row r="129" spans="1:11" x14ac:dyDescent="0.25">
      <c r="A129" s="5"/>
      <c r="B129" s="5"/>
      <c r="H129" s="12"/>
    </row>
    <row r="130" spans="1:11" x14ac:dyDescent="0.25">
      <c r="A130" s="5"/>
      <c r="B130" s="45"/>
      <c r="H130" s="12"/>
    </row>
    <row r="131" spans="1:11" x14ac:dyDescent="0.25">
      <c r="A131" s="5"/>
      <c r="B131" s="45"/>
      <c r="H131" s="12"/>
    </row>
    <row r="132" spans="1:11" x14ac:dyDescent="0.25">
      <c r="A132" s="42"/>
      <c r="B132" s="45"/>
      <c r="H132" s="12"/>
    </row>
    <row r="133" spans="1:11" x14ac:dyDescent="0.25">
      <c r="A133" s="42"/>
      <c r="B133" s="45"/>
      <c r="H133" s="12"/>
    </row>
    <row r="134" spans="1:11" x14ac:dyDescent="0.25">
      <c r="H134" s="12"/>
    </row>
    <row r="135" spans="1:11" x14ac:dyDescent="0.25">
      <c r="A135" s="28"/>
      <c r="H135" s="12"/>
    </row>
    <row r="136" spans="1:11" x14ac:dyDescent="0.25">
      <c r="A136" s="28"/>
      <c r="H136" s="12"/>
    </row>
    <row r="137" spans="1:11" x14ac:dyDescent="0.25">
      <c r="A137" s="28"/>
      <c r="H137" s="12"/>
    </row>
    <row r="138" spans="1:11" x14ac:dyDescent="0.25">
      <c r="A138" s="28"/>
      <c r="H138" s="12"/>
    </row>
    <row r="139" spans="1:11" x14ac:dyDescent="0.25">
      <c r="A139" s="28"/>
      <c r="H139" s="12"/>
    </row>
    <row r="140" spans="1:11" x14ac:dyDescent="0.25">
      <c r="A140" s="28"/>
      <c r="H140" s="12"/>
    </row>
    <row r="141" spans="1:11" x14ac:dyDescent="0.25">
      <c r="A141" s="28"/>
      <c r="H141" s="12"/>
    </row>
    <row r="142" spans="1:11" s="3" customFormat="1" x14ac:dyDescent="0.25">
      <c r="C142" s="29"/>
      <c r="D142" s="29"/>
      <c r="E142" s="29"/>
      <c r="F142" s="29"/>
      <c r="G142" s="29"/>
      <c r="H142" s="32"/>
      <c r="I142" s="29"/>
      <c r="J142" s="29"/>
      <c r="K142" s="29"/>
    </row>
    <row r="143" spans="1:11" s="3" customFormat="1" x14ac:dyDescent="0.25">
      <c r="A143" s="31"/>
      <c r="B143" s="218"/>
      <c r="C143" s="218"/>
      <c r="D143" s="29"/>
      <c r="E143" s="29"/>
      <c r="F143" s="29"/>
      <c r="G143" s="29"/>
      <c r="H143" s="32"/>
      <c r="I143" s="29"/>
      <c r="J143" s="29"/>
      <c r="K143" s="29"/>
    </row>
    <row r="144" spans="1:11" x14ac:dyDescent="0.25">
      <c r="A144" s="29"/>
      <c r="B144" s="29"/>
      <c r="C144" s="29"/>
    </row>
    <row r="145" spans="1:11" s="3" customFormat="1" x14ac:dyDescent="0.25">
      <c r="A145" s="30"/>
      <c r="B145" s="30"/>
      <c r="C145" s="30"/>
      <c r="D145" s="29"/>
      <c r="E145" s="29"/>
      <c r="F145" s="29"/>
      <c r="G145" s="29"/>
      <c r="H145" s="32"/>
      <c r="I145" s="29"/>
      <c r="J145" s="29"/>
      <c r="K145" s="29"/>
    </row>
    <row r="146" spans="1:11" s="3" customFormat="1" x14ac:dyDescent="0.25">
      <c r="A146" s="31"/>
      <c r="B146" s="30"/>
      <c r="C146" s="30"/>
      <c r="D146" s="29"/>
      <c r="E146" s="29"/>
      <c r="F146" s="29"/>
      <c r="G146" s="29"/>
      <c r="H146" s="32"/>
      <c r="I146" s="29"/>
      <c r="J146" s="29"/>
      <c r="K146" s="29"/>
    </row>
    <row r="147" spans="1:11" s="3" customFormat="1" x14ac:dyDescent="0.25">
      <c r="A147" s="31"/>
      <c r="B147" s="30"/>
      <c r="C147" s="30"/>
      <c r="D147" s="29"/>
      <c r="E147" s="29"/>
      <c r="F147" s="29"/>
      <c r="G147" s="29"/>
      <c r="H147" s="29"/>
      <c r="I147" s="29"/>
      <c r="J147" s="29"/>
      <c r="K147" s="29"/>
    </row>
    <row r="148" spans="1:11" s="3" customFormat="1" x14ac:dyDescent="0.25">
      <c r="A148" s="31"/>
      <c r="B148" s="30"/>
      <c r="C148" s="30"/>
      <c r="D148" s="29"/>
      <c r="E148" s="29"/>
      <c r="F148" s="29"/>
      <c r="G148" s="29"/>
      <c r="H148" s="29"/>
      <c r="I148" s="29"/>
      <c r="J148" s="29"/>
      <c r="K148" s="29"/>
    </row>
    <row r="149" spans="1:11" s="3" customFormat="1" x14ac:dyDescent="0.25">
      <c r="A149" s="31"/>
      <c r="B149" s="30"/>
      <c r="C149" s="30"/>
      <c r="D149" s="29"/>
      <c r="E149" s="29"/>
      <c r="F149" s="29"/>
      <c r="G149" s="29"/>
      <c r="H149" s="29"/>
      <c r="I149" s="29"/>
      <c r="J149" s="29"/>
      <c r="K149" s="29"/>
    </row>
    <row r="150" spans="1:11" s="3" customFormat="1" x14ac:dyDescent="0.25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x14ac:dyDescent="0.25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x14ac:dyDescent="0.25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x14ac:dyDescent="0.25">
      <c r="A153" s="31"/>
      <c r="B153" s="30"/>
      <c r="C153" s="30"/>
      <c r="D153" s="29"/>
      <c r="E153" s="29"/>
      <c r="F153" s="29"/>
      <c r="G153" s="29"/>
      <c r="H153" s="29"/>
      <c r="I153" s="29"/>
      <c r="J153" s="29"/>
      <c r="K153" s="29"/>
    </row>
    <row r="154" spans="1:11" s="3" customFormat="1" x14ac:dyDescent="0.25">
      <c r="A154" s="31"/>
      <c r="B154" s="30"/>
      <c r="C154" s="30"/>
      <c r="D154" s="29"/>
      <c r="E154" s="29"/>
      <c r="F154" s="29"/>
      <c r="G154" s="29"/>
      <c r="H154" s="29"/>
      <c r="I154" s="29"/>
      <c r="J154" s="29"/>
      <c r="K154" s="29"/>
    </row>
    <row r="155" spans="1:11" s="3" customFormat="1" x14ac:dyDescent="0.25">
      <c r="A155" s="31"/>
      <c r="B155" s="30"/>
      <c r="C155" s="30"/>
      <c r="D155" s="29"/>
      <c r="E155" s="29"/>
      <c r="F155" s="29"/>
      <c r="G155" s="29"/>
      <c r="H155" s="29"/>
      <c r="I155" s="29"/>
      <c r="J155" s="29"/>
      <c r="K155" s="29"/>
    </row>
    <row r="156" spans="1:11" s="3" customFormat="1" x14ac:dyDescent="0.25">
      <c r="A156" s="31"/>
      <c r="B156" s="30"/>
      <c r="C156" s="30"/>
      <c r="D156" s="29"/>
      <c r="E156" s="29"/>
      <c r="F156" s="29"/>
      <c r="G156" s="29"/>
      <c r="H156" s="29"/>
      <c r="I156" s="29"/>
      <c r="J156" s="29"/>
      <c r="K156" s="29"/>
    </row>
    <row r="157" spans="1:11" s="3" customFormat="1" x14ac:dyDescent="0.25">
      <c r="A157" s="31"/>
      <c r="B157" s="30"/>
      <c r="C157" s="30"/>
      <c r="D157" s="29"/>
      <c r="E157" s="29"/>
      <c r="F157" s="29"/>
      <c r="G157" s="29"/>
      <c r="H157" s="29"/>
      <c r="I157" s="29"/>
      <c r="J157" s="29"/>
      <c r="K157" s="29"/>
    </row>
    <row r="158" spans="1:11" s="3" customFormat="1" x14ac:dyDescent="0.25">
      <c r="A158" s="31"/>
      <c r="B158" s="30"/>
      <c r="C158" s="30"/>
      <c r="D158" s="29"/>
      <c r="E158" s="29"/>
      <c r="F158" s="29"/>
      <c r="G158" s="29"/>
      <c r="H158" s="29"/>
      <c r="I158" s="29"/>
      <c r="J158" s="29"/>
      <c r="K158" s="29"/>
    </row>
    <row r="159" spans="1:11" s="3" customFormat="1" x14ac:dyDescent="0.25">
      <c r="A159" s="31"/>
      <c r="B159" s="30"/>
      <c r="C159" s="30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x14ac:dyDescent="0.25">
      <c r="A160" s="31"/>
      <c r="B160" s="30"/>
      <c r="C160" s="30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x14ac:dyDescent="0.25">
      <c r="A161" s="31"/>
      <c r="B161" s="30"/>
      <c r="C161" s="30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x14ac:dyDescent="0.25">
      <c r="A162" s="31"/>
      <c r="B162" s="30"/>
      <c r="C162" s="30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x14ac:dyDescent="0.25">
      <c r="A163" s="31"/>
      <c r="B163" s="30"/>
      <c r="C163" s="30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x14ac:dyDescent="0.25">
      <c r="A164" s="31"/>
      <c r="B164" s="30"/>
      <c r="C164" s="30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x14ac:dyDescent="0.25">
      <c r="A165" s="31"/>
      <c r="B165" s="30"/>
      <c r="C165" s="30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x14ac:dyDescent="0.25">
      <c r="A166" s="31"/>
      <c r="B166" s="30"/>
      <c r="C166" s="30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5">
      <c r="A167" s="31"/>
      <c r="B167" s="30"/>
      <c r="C167" s="30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31"/>
      <c r="B168" s="30"/>
      <c r="C168" s="30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31"/>
      <c r="B169" s="30"/>
      <c r="C169" s="30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31"/>
      <c r="B170" s="30"/>
      <c r="C170" s="30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31"/>
      <c r="B171" s="30"/>
      <c r="C171" s="30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31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31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s="35" customFormat="1" x14ac:dyDescent="0.3">
      <c r="A174" s="33"/>
      <c r="B174" s="34"/>
      <c r="C174" s="34"/>
      <c r="D174" s="34"/>
      <c r="E174" s="34"/>
      <c r="F174" s="34"/>
      <c r="G174" s="34"/>
      <c r="H174" s="34"/>
      <c r="I174" s="34"/>
      <c r="J174" s="32"/>
      <c r="K174" s="32"/>
    </row>
    <row r="175" spans="1:11" s="3" customFormat="1" x14ac:dyDescent="0.25">
      <c r="A175" s="29"/>
      <c r="B175" s="31"/>
      <c r="C175" s="31"/>
      <c r="D175" s="31"/>
      <c r="E175" s="31"/>
      <c r="F175" s="31"/>
      <c r="G175" s="31"/>
      <c r="H175" s="30"/>
      <c r="I175" s="30"/>
      <c r="J175" s="29"/>
      <c r="K175" s="29"/>
    </row>
    <row r="176" spans="1:11" s="3" customFormat="1" x14ac:dyDescent="0.25">
      <c r="A176" s="29"/>
      <c r="B176" s="31"/>
      <c r="C176" s="31"/>
      <c r="D176" s="31"/>
      <c r="E176" s="31"/>
      <c r="F176" s="31"/>
      <c r="G176" s="31"/>
      <c r="H176" s="30"/>
      <c r="I176" s="30"/>
      <c r="J176" s="29"/>
      <c r="K176" s="29"/>
    </row>
    <row r="177" spans="1:11" s="3" customFormat="1" x14ac:dyDescent="0.25">
      <c r="A177" s="29"/>
      <c r="B177" s="31"/>
      <c r="C177" s="31"/>
      <c r="D177" s="31"/>
      <c r="E177" s="31"/>
      <c r="F177" s="31"/>
      <c r="G177" s="31"/>
      <c r="H177" s="30"/>
      <c r="I177" s="30"/>
      <c r="J177" s="29"/>
      <c r="K177" s="29"/>
    </row>
    <row r="178" spans="1:11" s="3" customForma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29"/>
      <c r="K178" s="29"/>
    </row>
    <row r="179" spans="1:11" s="3" customFormat="1" x14ac:dyDescent="0.25">
      <c r="A179" s="29"/>
      <c r="B179" s="31"/>
      <c r="C179" s="31"/>
      <c r="D179" s="31"/>
      <c r="E179" s="31"/>
      <c r="F179" s="31"/>
      <c r="G179" s="31"/>
      <c r="H179" s="30"/>
      <c r="I179" s="30"/>
      <c r="J179" s="29"/>
      <c r="K179" s="29"/>
    </row>
    <row r="180" spans="1:11" s="3" customFormat="1" x14ac:dyDescent="0.25">
      <c r="A180" s="29"/>
      <c r="B180" s="31"/>
      <c r="C180" s="31"/>
      <c r="D180" s="31"/>
      <c r="E180" s="31"/>
      <c r="F180" s="31"/>
      <c r="G180" s="31"/>
      <c r="H180" s="30"/>
      <c r="I180" s="30"/>
      <c r="J180" s="29"/>
      <c r="K180" s="29"/>
    </row>
    <row r="181" spans="1:11" s="3" customFormat="1" x14ac:dyDescent="0.25">
      <c r="A181" s="29"/>
      <c r="B181" s="31"/>
      <c r="C181" s="31"/>
      <c r="D181" s="31"/>
      <c r="E181" s="31"/>
      <c r="F181" s="31"/>
      <c r="G181" s="31"/>
      <c r="H181" s="30"/>
      <c r="I181" s="30"/>
      <c r="J181" s="29"/>
      <c r="K181" s="29"/>
    </row>
    <row r="182" spans="1:11" s="3" customFormat="1" x14ac:dyDescent="0.25">
      <c r="A182" s="29"/>
      <c r="B182" s="31"/>
      <c r="C182" s="31"/>
      <c r="D182" s="31"/>
      <c r="E182" s="31"/>
      <c r="F182" s="31"/>
      <c r="G182" s="31"/>
      <c r="H182" s="30"/>
      <c r="I182" s="30"/>
      <c r="J182" s="29"/>
      <c r="K182" s="29"/>
    </row>
    <row r="183" spans="1:11" s="3" customFormat="1" x14ac:dyDescent="0.25">
      <c r="A183" s="29"/>
      <c r="B183" s="31"/>
      <c r="C183" s="31"/>
      <c r="D183" s="31"/>
      <c r="E183" s="31"/>
      <c r="F183" s="31"/>
      <c r="G183" s="31"/>
      <c r="H183" s="30"/>
      <c r="I183" s="30"/>
      <c r="J183" s="29"/>
      <c r="K183" s="29"/>
    </row>
    <row r="184" spans="1:11" s="3" customFormat="1" x14ac:dyDescent="0.25">
      <c r="A184" s="29"/>
      <c r="B184" s="31"/>
      <c r="C184" s="31"/>
      <c r="D184" s="31"/>
      <c r="E184" s="31"/>
      <c r="F184" s="31"/>
      <c r="G184" s="31"/>
      <c r="H184" s="30"/>
      <c r="I184" s="30"/>
      <c r="J184" s="29"/>
      <c r="K184" s="29"/>
    </row>
    <row r="185" spans="1:11" s="3" customFormat="1" x14ac:dyDescent="0.25">
      <c r="A185" s="29"/>
      <c r="B185" s="31"/>
      <c r="C185" s="31"/>
      <c r="D185" s="31"/>
      <c r="E185" s="31"/>
      <c r="F185" s="31"/>
      <c r="G185" s="31"/>
      <c r="H185" s="30"/>
      <c r="I185" s="30"/>
      <c r="J185" s="29"/>
      <c r="K185" s="29"/>
    </row>
    <row r="186" spans="1:11" s="3" customFormat="1" x14ac:dyDescent="0.25">
      <c r="A186" s="29"/>
      <c r="B186" s="31"/>
      <c r="C186" s="31"/>
      <c r="D186" s="31"/>
      <c r="E186" s="31"/>
      <c r="F186" s="31"/>
      <c r="G186" s="31"/>
      <c r="H186" s="30"/>
      <c r="I186" s="30"/>
      <c r="J186" s="29"/>
      <c r="K186" s="29"/>
    </row>
    <row r="187" spans="1:11" s="3" customFormat="1" x14ac:dyDescent="0.25">
      <c r="A187" s="29"/>
      <c r="B187" s="31"/>
      <c r="C187" s="31"/>
      <c r="D187" s="31"/>
      <c r="E187" s="31"/>
      <c r="F187" s="31"/>
      <c r="G187" s="31"/>
      <c r="H187" s="30"/>
      <c r="I187" s="30"/>
      <c r="J187" s="29"/>
      <c r="K187" s="29"/>
    </row>
    <row r="188" spans="1:11" s="3" customFormat="1" x14ac:dyDescent="0.25">
      <c r="A188" s="29"/>
      <c r="B188" s="31"/>
      <c r="C188" s="31"/>
      <c r="D188" s="31"/>
      <c r="E188" s="31"/>
      <c r="F188" s="31"/>
      <c r="G188" s="31"/>
      <c r="H188" s="30"/>
      <c r="I188" s="30"/>
      <c r="J188" s="29"/>
      <c r="K188" s="29"/>
    </row>
    <row r="189" spans="1:11" s="3" customFormat="1" x14ac:dyDescent="0.25">
      <c r="A189" s="29"/>
      <c r="B189" s="31"/>
      <c r="C189" s="31"/>
      <c r="D189" s="31"/>
      <c r="E189" s="31"/>
      <c r="F189" s="31"/>
      <c r="G189" s="31"/>
      <c r="H189" s="30"/>
      <c r="I189" s="30"/>
      <c r="J189" s="29"/>
      <c r="K189" s="29"/>
    </row>
    <row r="190" spans="1:11" s="3" customFormat="1" x14ac:dyDescent="0.25">
      <c r="A190" s="29"/>
      <c r="B190" s="31"/>
      <c r="C190" s="31"/>
      <c r="D190" s="31"/>
      <c r="E190" s="31"/>
      <c r="F190" s="31"/>
      <c r="G190" s="31"/>
      <c r="H190" s="30"/>
      <c r="I190" s="30"/>
      <c r="J190" s="29"/>
      <c r="K190" s="29"/>
    </row>
    <row r="191" spans="1:11" s="3" customFormat="1" x14ac:dyDescent="0.25">
      <c r="A191" s="29"/>
      <c r="B191" s="31"/>
      <c r="C191" s="31"/>
      <c r="D191" s="31"/>
      <c r="E191" s="31"/>
      <c r="F191" s="31"/>
      <c r="G191" s="31"/>
      <c r="H191" s="30"/>
      <c r="I191" s="30"/>
      <c r="J191" s="29"/>
      <c r="K191" s="29"/>
    </row>
    <row r="192" spans="1:11" s="3" customFormat="1" x14ac:dyDescent="0.25">
      <c r="A192" s="29"/>
      <c r="B192" s="31"/>
      <c r="C192" s="31"/>
      <c r="D192" s="31"/>
      <c r="E192" s="31"/>
      <c r="F192" s="31"/>
      <c r="G192" s="31"/>
      <c r="H192" s="30"/>
      <c r="I192" s="30"/>
      <c r="J192" s="29"/>
      <c r="K192" s="29"/>
    </row>
    <row r="193" spans="1:11" s="3" customFormat="1" x14ac:dyDescent="0.25">
      <c r="A193" s="29"/>
      <c r="B193" s="31"/>
      <c r="C193" s="31"/>
      <c r="D193" s="31"/>
      <c r="E193" s="31"/>
      <c r="F193" s="31"/>
      <c r="G193" s="31"/>
      <c r="H193" s="30"/>
      <c r="I193" s="30"/>
      <c r="J193" s="29"/>
      <c r="K193" s="29"/>
    </row>
    <row r="194" spans="1:11" s="3" customFormat="1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s="3" customFormat="1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s="3" customFormat="1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s="3" customFormat="1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s="3" customFormat="1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s="3" customFormat="1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s="3" customFormat="1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s="3" customFormat="1" x14ac:dyDescent="0.25">
      <c r="A201" s="29"/>
      <c r="B201" s="29"/>
      <c r="C201" s="29"/>
      <c r="D201" s="29"/>
      <c r="J201" s="29"/>
      <c r="K201" s="29"/>
    </row>
    <row r="202" spans="1:11" s="3" customFormat="1" x14ac:dyDescent="0.25">
      <c r="A202" s="29"/>
      <c r="B202" s="29"/>
      <c r="C202" s="29"/>
      <c r="D202" s="29"/>
      <c r="J202" s="29"/>
      <c r="K202" s="29"/>
    </row>
    <row r="203" spans="1:11" s="3" customFormat="1" x14ac:dyDescent="0.25">
      <c r="A203" s="29"/>
      <c r="B203" s="29"/>
      <c r="C203" s="29"/>
      <c r="D203" s="29"/>
      <c r="J203" s="29"/>
      <c r="K203" s="29"/>
    </row>
    <row r="204" spans="1:11" s="3" customFormat="1" x14ac:dyDescent="0.25">
      <c r="A204" s="29"/>
      <c r="B204" s="29"/>
      <c r="C204" s="29"/>
      <c r="D204" s="29"/>
      <c r="J204" s="29"/>
      <c r="K204" s="29"/>
    </row>
    <row r="205" spans="1:11" s="3" customFormat="1" x14ac:dyDescent="0.25">
      <c r="A205" s="29"/>
      <c r="B205" s="29"/>
      <c r="C205" s="29"/>
      <c r="D205" s="29"/>
      <c r="J205" s="29"/>
      <c r="K205" s="29"/>
    </row>
    <row r="206" spans="1:11" s="3" customFormat="1" x14ac:dyDescent="0.25">
      <c r="A206" s="29"/>
      <c r="B206" s="29"/>
      <c r="C206" s="29"/>
      <c r="D206" s="29"/>
      <c r="J206" s="29"/>
      <c r="K206" s="29"/>
    </row>
    <row r="207" spans="1:11" s="3" customFormat="1" x14ac:dyDescent="0.25">
      <c r="A207" s="29"/>
      <c r="B207" s="29"/>
      <c r="C207" s="29"/>
      <c r="D207" s="29"/>
      <c r="J207" s="29"/>
      <c r="K207" s="29"/>
    </row>
    <row r="208" spans="1:11" s="3" customFormat="1" x14ac:dyDescent="0.25">
      <c r="A208" s="29"/>
      <c r="B208" s="29"/>
      <c r="C208" s="29"/>
      <c r="D208" s="29"/>
      <c r="J208" s="29"/>
      <c r="K208" s="29"/>
    </row>
    <row r="209" spans="1:11" s="3" customFormat="1" x14ac:dyDescent="0.25">
      <c r="A209" s="29"/>
      <c r="B209" s="29"/>
      <c r="C209" s="29"/>
      <c r="D209" s="29"/>
      <c r="J209" s="29"/>
      <c r="K209" s="29"/>
    </row>
    <row r="210" spans="1:11" s="3" customFormat="1" x14ac:dyDescent="0.25">
      <c r="A210" s="29"/>
      <c r="B210" s="29"/>
      <c r="C210" s="29"/>
      <c r="D210" s="29"/>
      <c r="J210" s="29"/>
      <c r="K210" s="29"/>
    </row>
    <row r="211" spans="1:11" s="3" customFormat="1" x14ac:dyDescent="0.25">
      <c r="A211" s="29"/>
      <c r="B211" s="29"/>
      <c r="C211" s="29"/>
      <c r="D211" s="29"/>
      <c r="J211" s="29"/>
      <c r="K211" s="29"/>
    </row>
    <row r="212" spans="1:11" s="3" customFormat="1" x14ac:dyDescent="0.25">
      <c r="A212" s="29"/>
      <c r="B212" s="29"/>
      <c r="C212" s="29"/>
      <c r="D212" s="29"/>
      <c r="J212" s="29"/>
      <c r="K212" s="29"/>
    </row>
    <row r="213" spans="1:11" s="3" customFormat="1" x14ac:dyDescent="0.25">
      <c r="A213" s="29"/>
      <c r="B213" s="29"/>
      <c r="C213" s="29"/>
      <c r="D213" s="29"/>
      <c r="J213" s="29"/>
      <c r="K213" s="29"/>
    </row>
    <row r="214" spans="1:11" s="3" customFormat="1" x14ac:dyDescent="0.25"/>
    <row r="215" spans="1:11" s="3" customFormat="1" x14ac:dyDescent="0.25"/>
    <row r="216" spans="1:11" s="3" customFormat="1" x14ac:dyDescent="0.25"/>
    <row r="217" spans="1:11" s="3" customFormat="1" x14ac:dyDescent="0.25"/>
    <row r="218" spans="1:11" s="3" customFormat="1" x14ac:dyDescent="0.25"/>
  </sheetData>
  <sheetProtection selectLockedCells="1" selectUnlockedCells="1"/>
  <mergeCells count="67">
    <mergeCell ref="B17:I17"/>
    <mergeCell ref="A4:A5"/>
    <mergeCell ref="B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A73:I73"/>
    <mergeCell ref="A74:I74"/>
    <mergeCell ref="A18:A19"/>
    <mergeCell ref="B18:C18"/>
    <mergeCell ref="D18:E18"/>
    <mergeCell ref="F18:G18"/>
    <mergeCell ref="H18:I18"/>
    <mergeCell ref="B34:C34"/>
    <mergeCell ref="D34:E34"/>
    <mergeCell ref="F34:G34"/>
    <mergeCell ref="H34:I34"/>
    <mergeCell ref="A75:I75"/>
    <mergeCell ref="A76:I76"/>
    <mergeCell ref="A77:I77"/>
    <mergeCell ref="B143:C143"/>
    <mergeCell ref="A78:I78"/>
    <mergeCell ref="A79:I79"/>
    <mergeCell ref="A80:I80"/>
    <mergeCell ref="A81:I81"/>
    <mergeCell ref="A16:I16"/>
    <mergeCell ref="B14:C14"/>
    <mergeCell ref="D14:E14"/>
    <mergeCell ref="F14:G14"/>
    <mergeCell ref="H14:I14"/>
    <mergeCell ref="B15:C15"/>
    <mergeCell ref="D15:E15"/>
    <mergeCell ref="F15:G15"/>
    <mergeCell ref="H15:I15"/>
  </mergeCells>
  <phoneticPr fontId="28" type="noConversion"/>
  <dataValidations count="17">
    <dataValidation type="list" allowBlank="1" showInputMessage="1" showErrorMessage="1" sqref="B13:I13" xr:uid="{00000000-0002-0000-0100-000004000000}">
      <formula1>QPAFE</formula1>
    </dataValidation>
    <dataValidation type="list" allowBlank="1" showInputMessage="1" showErrorMessage="1" sqref="H12:I12" xr:uid="{00000000-0002-0000-0100-000005000000}">
      <formula1>OGGLT</formula1>
    </dataValidation>
    <dataValidation type="list" allowBlank="1" showInputMessage="1" showErrorMessage="1" sqref="F12:G12" xr:uid="{00000000-0002-0000-0100-000006000000}">
      <formula1>TAYYL</formula1>
    </dataValidation>
    <dataValidation type="list" allowBlank="1" showInputMessage="1" showErrorMessage="1" sqref="D12:E12" xr:uid="{00000000-0002-0000-0100-000007000000}">
      <formula1>PSAXR</formula1>
    </dataValidation>
    <dataValidation type="list" allowBlank="1" showInputMessage="1" showErrorMessage="1" sqref="B12:C12" xr:uid="{00000000-0002-0000-0100-000008000000}">
      <formula1>GQIBE</formula1>
    </dataValidation>
    <dataValidation type="list" allowBlank="1" showInputMessage="1" showErrorMessage="1" sqref="B11 D11 F11 H11" xr:uid="{00000000-0002-0000-0100-000009000000}">
      <formula1>"да, нет"</formula1>
    </dataValidation>
    <dataValidation type="decimal" operator="lessThanOrEqual" allowBlank="1" showInputMessage="1" showErrorMessage="1" sqref="H7 B7 D7 F7" xr:uid="{00000000-0002-0000-0100-00000A000000}">
      <formula1>3</formula1>
    </dataValidation>
    <dataValidation type="list" allowBlank="1" showInputMessage="1" showErrorMessage="1" sqref="B6:C6" xr:uid="{00000000-0002-0000-0100-00000B000000}">
      <formula1>JSLDC</formula1>
    </dataValidation>
    <dataValidation type="list" allowBlank="1" showInputMessage="1" showErrorMessage="1" sqref="D6:E6" xr:uid="{00000000-0002-0000-0100-00000C000000}">
      <formula1>DYRFP</formula1>
    </dataValidation>
    <dataValidation type="list" allowBlank="1" showInputMessage="1" showErrorMessage="1" sqref="F6:G6" xr:uid="{00000000-0002-0000-0100-00000D000000}">
      <formula1>GURGW</formula1>
    </dataValidation>
    <dataValidation type="list" allowBlank="1" showInputMessage="1" showErrorMessage="1" sqref="H6:I6" xr:uid="{00000000-0002-0000-0100-00000E000000}">
      <formula1>XODFC</formula1>
    </dataValidation>
    <dataValidation type="list" allowBlank="1" showInputMessage="1" showErrorMessage="1" sqref="H14:I14" xr:uid="{00000000-0002-0000-0100-00000F000000}">
      <formula1>CEXUI</formula1>
    </dataValidation>
    <dataValidation type="list" allowBlank="1" showInputMessage="1" showErrorMessage="1" sqref="F14:G14" xr:uid="{00000000-0002-0000-0100-000010000000}">
      <formula1>IANCJ</formula1>
    </dataValidation>
    <dataValidation type="list" allowBlank="1" showInputMessage="1" showErrorMessage="1" sqref="D14:E14" xr:uid="{00000000-0002-0000-0100-000011000000}">
      <formula1>MUGNQ</formula1>
    </dataValidation>
    <dataValidation type="list" allowBlank="1" showInputMessage="1" showErrorMessage="1" sqref="B14:C14" xr:uid="{00000000-0002-0000-0100-000012000000}">
      <formula1>BTYPS</formula1>
    </dataValidation>
    <dataValidation type="list" allowBlank="1" showInputMessage="1" showErrorMessage="1" sqref="B15:I15" xr:uid="{00000000-0002-0000-0100-000014000000}">
      <formula1>TokyoType</formula1>
    </dataValidation>
    <dataValidation type="list" allowBlank="1" showInputMessage="1" showErrorMessage="1" sqref="B15:I15" xr:uid="{C9AD67FB-54F5-4259-8418-4E0BA1D3DDC6}">
      <formula1>"да,нет"</formula1>
    </dataValidation>
  </dataValidations>
  <printOptions horizontalCentered="1"/>
  <pageMargins left="0.25" right="0.25" top="0.75" bottom="0.75" header="0.3" footer="0.3"/>
  <pageSetup paperSize="9" scale="57" firstPageNumber="0" fitToHeight="2" orientation="portrait" horizontalDpi="300" verticalDpi="300" r:id="rId1"/>
  <headerFooter scaleWithDoc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AD156"/>
  <sheetViews>
    <sheetView showGridLines="0" zoomScale="85" zoomScaleNormal="85" zoomScaleSheetLayoutView="50" zoomScalePageLayoutView="55" workbookViewId="0">
      <pane ySplit="18" topLeftCell="A19" activePane="bottomLeft" state="frozen"/>
      <selection activeCell="F2" sqref="F2"/>
      <selection pane="bottomLeft"/>
    </sheetView>
  </sheetViews>
  <sheetFormatPr defaultColWidth="9.109375" defaultRowHeight="13.2" x14ac:dyDescent="0.25"/>
  <cols>
    <col min="1" max="1" width="63.109375" style="2" customWidth="1"/>
    <col min="2" max="9" width="14.109375" style="2" customWidth="1"/>
    <col min="10" max="10" width="25.33203125" style="2" customWidth="1"/>
    <col min="11" max="11" width="15.44140625" style="2" customWidth="1"/>
    <col min="12" max="12" width="9" style="2" customWidth="1"/>
    <col min="13" max="13" width="13.88671875" style="2" customWidth="1"/>
    <col min="14" max="14" width="10.88671875" style="2" customWidth="1"/>
    <col min="15" max="16384" width="9.109375" style="2"/>
  </cols>
  <sheetData>
    <row r="1" spans="1:11" x14ac:dyDescent="0.25">
      <c r="A1" s="121">
        <v>45812</v>
      </c>
      <c r="B1" s="99"/>
      <c r="C1" s="99"/>
      <c r="D1" s="99"/>
      <c r="E1" s="1"/>
      <c r="F1" s="1"/>
      <c r="G1" s="4"/>
      <c r="H1" s="4"/>
      <c r="I1" s="4"/>
    </row>
    <row r="2" spans="1:11" ht="27" customHeight="1" thickBot="1" x14ac:dyDescent="0.3">
      <c r="A2" s="101" t="s">
        <v>299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01" t="s">
        <v>139</v>
      </c>
      <c r="B4" s="202" t="s">
        <v>30</v>
      </c>
      <c r="C4" s="202"/>
      <c r="D4" s="202"/>
      <c r="E4" s="202"/>
      <c r="F4" s="202"/>
      <c r="G4" s="202"/>
      <c r="H4" s="202"/>
      <c r="I4" s="202"/>
      <c r="J4" s="9"/>
      <c r="K4" s="9"/>
    </row>
    <row r="5" spans="1:11" ht="16.5" customHeight="1" x14ac:dyDescent="0.25">
      <c r="A5" s="201"/>
      <c r="B5" s="203" t="s">
        <v>32</v>
      </c>
      <c r="C5" s="203"/>
      <c r="D5" s="203" t="s">
        <v>33</v>
      </c>
      <c r="E5" s="203"/>
      <c r="F5" s="203" t="s">
        <v>34</v>
      </c>
      <c r="G5" s="203"/>
      <c r="H5" s="203" t="s">
        <v>35</v>
      </c>
      <c r="I5" s="203"/>
      <c r="J5" s="9"/>
      <c r="K5" s="9"/>
    </row>
    <row r="6" spans="1:11" ht="16.5" customHeight="1" x14ac:dyDescent="0.25">
      <c r="A6" s="67" t="s">
        <v>67</v>
      </c>
      <c r="B6" s="204" t="s">
        <v>316</v>
      </c>
      <c r="C6" s="229"/>
      <c r="D6" s="229"/>
      <c r="E6" s="229"/>
      <c r="F6" s="229"/>
      <c r="G6" s="229"/>
      <c r="H6" s="229"/>
      <c r="I6" s="205"/>
      <c r="J6" s="6" t="s">
        <v>332</v>
      </c>
      <c r="K6" s="9"/>
    </row>
    <row r="7" spans="1:11" ht="16.5" customHeight="1" x14ac:dyDescent="0.25">
      <c r="A7" s="67" t="s">
        <v>68</v>
      </c>
      <c r="B7" s="204" t="s">
        <v>318</v>
      </c>
      <c r="C7" s="229"/>
      <c r="D7" s="229"/>
      <c r="E7" s="229"/>
      <c r="F7" s="229"/>
      <c r="G7" s="229"/>
      <c r="H7" s="229"/>
      <c r="I7" s="205"/>
      <c r="J7" s="6" t="s">
        <v>333</v>
      </c>
      <c r="K7" s="9"/>
    </row>
    <row r="8" spans="1:11" ht="16.5" customHeight="1" x14ac:dyDescent="0.25">
      <c r="A8" s="66" t="s">
        <v>121</v>
      </c>
      <c r="B8" s="231">
        <v>0</v>
      </c>
      <c r="C8" s="231"/>
      <c r="D8" s="231">
        <v>0</v>
      </c>
      <c r="E8" s="231"/>
      <c r="F8" s="231">
        <v>0</v>
      </c>
      <c r="G8" s="231"/>
      <c r="H8" s="231">
        <v>0</v>
      </c>
      <c r="I8" s="231"/>
      <c r="J8" s="6" t="s">
        <v>334</v>
      </c>
      <c r="K8" s="9"/>
    </row>
    <row r="9" spans="1:11" ht="16.5" customHeight="1" x14ac:dyDescent="0.25">
      <c r="A9" s="66" t="s">
        <v>335</v>
      </c>
      <c r="B9" s="200">
        <v>0</v>
      </c>
      <c r="C9" s="200"/>
      <c r="D9" s="200">
        <v>0</v>
      </c>
      <c r="E9" s="200"/>
      <c r="F9" s="200">
        <v>0</v>
      </c>
      <c r="G9" s="200"/>
      <c r="H9" s="200">
        <v>0</v>
      </c>
      <c r="I9" s="200"/>
      <c r="J9" s="6" t="s">
        <v>124</v>
      </c>
      <c r="K9" s="9"/>
    </row>
    <row r="10" spans="1:11" ht="16.5" customHeight="1" x14ac:dyDescent="0.25">
      <c r="A10" s="66" t="s">
        <v>39</v>
      </c>
      <c r="B10" s="200">
        <v>0</v>
      </c>
      <c r="C10" s="200"/>
      <c r="D10" s="200">
        <v>0</v>
      </c>
      <c r="E10" s="200"/>
      <c r="F10" s="200">
        <v>0</v>
      </c>
      <c r="G10" s="200"/>
      <c r="H10" s="200">
        <v>0</v>
      </c>
      <c r="I10" s="200"/>
      <c r="J10" s="6" t="s">
        <v>125</v>
      </c>
      <c r="K10" s="9"/>
    </row>
    <row r="11" spans="1:11" ht="16.5" customHeight="1" x14ac:dyDescent="0.25">
      <c r="A11" s="67" t="s">
        <v>40</v>
      </c>
      <c r="B11" s="200">
        <v>0</v>
      </c>
      <c r="C11" s="200"/>
      <c r="D11" s="200">
        <v>0</v>
      </c>
      <c r="E11" s="200"/>
      <c r="F11" s="200">
        <v>0</v>
      </c>
      <c r="G11" s="200"/>
      <c r="H11" s="200">
        <v>0</v>
      </c>
      <c r="I11" s="200"/>
      <c r="J11" s="6" t="s">
        <v>125</v>
      </c>
      <c r="K11" s="9"/>
    </row>
    <row r="12" spans="1:11" ht="16.5" customHeight="1" x14ac:dyDescent="0.25">
      <c r="A12" s="67" t="s">
        <v>177</v>
      </c>
      <c r="B12" s="200">
        <v>0</v>
      </c>
      <c r="C12" s="200"/>
      <c r="D12" s="200">
        <v>0</v>
      </c>
      <c r="E12" s="200"/>
      <c r="F12" s="200">
        <v>0</v>
      </c>
      <c r="G12" s="200"/>
      <c r="H12" s="200">
        <v>0</v>
      </c>
      <c r="I12" s="200"/>
      <c r="J12" s="6" t="s">
        <v>125</v>
      </c>
      <c r="K12" s="9"/>
    </row>
    <row r="13" spans="1:11" ht="16.5" customHeight="1" x14ac:dyDescent="0.25">
      <c r="A13" s="66" t="s">
        <v>43</v>
      </c>
      <c r="B13" s="200" t="s">
        <v>44</v>
      </c>
      <c r="C13" s="200"/>
      <c r="D13" s="200" t="s">
        <v>44</v>
      </c>
      <c r="E13" s="200"/>
      <c r="F13" s="200" t="s">
        <v>44</v>
      </c>
      <c r="G13" s="200"/>
      <c r="H13" s="200" t="s">
        <v>44</v>
      </c>
      <c r="I13" s="200"/>
      <c r="J13" s="6" t="s">
        <v>123</v>
      </c>
      <c r="K13" s="9"/>
    </row>
    <row r="14" spans="1:11" ht="16.5" customHeight="1" x14ac:dyDescent="0.25">
      <c r="A14" s="66" t="s">
        <v>145</v>
      </c>
      <c r="B14" s="210" t="s">
        <v>44</v>
      </c>
      <c r="C14" s="211"/>
      <c r="D14" s="210" t="s">
        <v>44</v>
      </c>
      <c r="E14" s="211"/>
      <c r="F14" s="210" t="s">
        <v>44</v>
      </c>
      <c r="G14" s="211"/>
      <c r="H14" s="210" t="s">
        <v>44</v>
      </c>
      <c r="I14" s="211"/>
      <c r="J14" s="6" t="s">
        <v>123</v>
      </c>
      <c r="K14" s="9"/>
    </row>
    <row r="15" spans="1:11" ht="32.25" customHeight="1" x14ac:dyDescent="0.25">
      <c r="A15" s="66" t="s">
        <v>146</v>
      </c>
      <c r="B15" s="210" t="s">
        <v>44</v>
      </c>
      <c r="C15" s="211"/>
      <c r="D15" s="210" t="s">
        <v>44</v>
      </c>
      <c r="E15" s="211"/>
      <c r="F15" s="210" t="s">
        <v>44</v>
      </c>
      <c r="G15" s="211"/>
      <c r="H15" s="210" t="s">
        <v>44</v>
      </c>
      <c r="I15" s="211"/>
      <c r="J15" s="6" t="s">
        <v>123</v>
      </c>
      <c r="K15" s="9"/>
    </row>
    <row r="16" spans="1:11" ht="16.5" customHeight="1" x14ac:dyDescent="0.25">
      <c r="A16" s="66" t="s">
        <v>155</v>
      </c>
      <c r="B16" s="210" t="s">
        <v>10</v>
      </c>
      <c r="C16" s="211"/>
      <c r="D16" s="210" t="s">
        <v>10</v>
      </c>
      <c r="E16" s="211"/>
      <c r="F16" s="210" t="s">
        <v>10</v>
      </c>
      <c r="G16" s="211"/>
      <c r="H16" s="210" t="s">
        <v>10</v>
      </c>
      <c r="I16" s="211"/>
      <c r="J16" s="6" t="s">
        <v>123</v>
      </c>
      <c r="K16" s="9"/>
    </row>
    <row r="17" spans="1:11" ht="16.5" customHeight="1" x14ac:dyDescent="0.25">
      <c r="A17" s="66" t="s">
        <v>308</v>
      </c>
      <c r="B17" s="210" t="s">
        <v>44</v>
      </c>
      <c r="C17" s="211"/>
      <c r="D17" s="210" t="s">
        <v>44</v>
      </c>
      <c r="E17" s="211"/>
      <c r="F17" s="210" t="s">
        <v>44</v>
      </c>
      <c r="G17" s="211"/>
      <c r="H17" s="210" t="s">
        <v>44</v>
      </c>
      <c r="I17" s="211"/>
      <c r="J17" s="6"/>
      <c r="K17" s="9"/>
    </row>
    <row r="18" spans="1:11" ht="15.75" customHeight="1" x14ac:dyDescent="0.25">
      <c r="A18" s="212" t="s">
        <v>310</v>
      </c>
      <c r="B18" s="212"/>
      <c r="C18" s="212"/>
      <c r="D18" s="212"/>
      <c r="E18" s="212"/>
      <c r="F18" s="212"/>
      <c r="G18" s="212"/>
      <c r="H18" s="212"/>
      <c r="I18" s="212"/>
      <c r="J18" s="9"/>
      <c r="K18" s="9"/>
    </row>
    <row r="19" spans="1:11" ht="45" customHeight="1" x14ac:dyDescent="0.25">
      <c r="A19" s="122" t="str">
        <f>IF(OR(B9&gt;2.5,D9&gt;2.5,F9&gt;2.5,H9&gt;2.5),"Секции более 2,5 метров не рекомендуются. Продажа осуществляется по подписанной спецификации клиента","")</f>
        <v/>
      </c>
      <c r="B19" s="213" t="s">
        <v>383</v>
      </c>
      <c r="C19" s="213"/>
      <c r="D19" s="213"/>
      <c r="E19" s="213"/>
      <c r="F19" s="213"/>
      <c r="G19" s="213"/>
      <c r="H19" s="213"/>
      <c r="I19" s="213"/>
      <c r="J19" s="9"/>
      <c r="K19" s="9"/>
    </row>
    <row r="20" spans="1:11" ht="16.5" customHeight="1" x14ac:dyDescent="0.25">
      <c r="A20" s="202" t="s">
        <v>140</v>
      </c>
      <c r="B20" s="222" t="s">
        <v>0</v>
      </c>
      <c r="C20" s="223"/>
      <c r="D20" s="223" t="s">
        <v>1</v>
      </c>
      <c r="E20" s="223"/>
      <c r="F20" s="223" t="s">
        <v>2</v>
      </c>
      <c r="G20" s="223"/>
      <c r="H20" s="223" t="s">
        <v>3</v>
      </c>
      <c r="I20" s="224"/>
      <c r="K20" s="9"/>
    </row>
    <row r="21" spans="1:11" ht="16.5" customHeight="1" x14ac:dyDescent="0.25">
      <c r="A21" s="202"/>
      <c r="B21" s="68" t="s">
        <v>6</v>
      </c>
      <c r="C21" s="69" t="s">
        <v>7</v>
      </c>
      <c r="D21" s="70" t="s">
        <v>6</v>
      </c>
      <c r="E21" s="69" t="s">
        <v>7</v>
      </c>
      <c r="F21" s="70" t="s">
        <v>6</v>
      </c>
      <c r="G21" s="69" t="s">
        <v>7</v>
      </c>
      <c r="H21" s="70" t="s">
        <v>6</v>
      </c>
      <c r="I21" s="68" t="s">
        <v>7</v>
      </c>
      <c r="K21" s="9"/>
    </row>
    <row r="22" spans="1:11" ht="16.5" customHeight="1" x14ac:dyDescent="0.25">
      <c r="A22" s="71" t="s">
        <v>82</v>
      </c>
      <c r="B22" s="71"/>
      <c r="C22" s="72"/>
      <c r="D22" s="73"/>
      <c r="E22" s="74"/>
      <c r="F22" s="73"/>
      <c r="G22" s="74"/>
      <c r="H22" s="73"/>
      <c r="I22" s="75"/>
      <c r="K22" s="9"/>
    </row>
    <row r="23" spans="1:11" ht="16.5" customHeight="1" x14ac:dyDescent="0.25">
      <c r="A23" s="44" t="s">
        <v>327</v>
      </c>
      <c r="B23" s="51">
        <f>IF(C23=0,0,B9-0.01)</f>
        <v>0</v>
      </c>
      <c r="C23" s="52">
        <f>IFERROR(IF($B$6="ламель50",IF(B7="25мм",B10*VLOOKUP(B8,Данные1!$Z$88:$AA$116,2,FALSE),IF(B7="50мм",B10*VLOOKUP(B8,Данные1!$AD$88:$AE$109,2,FALSE))),0),0)</f>
        <v>0</v>
      </c>
      <c r="D23" s="51">
        <f>IF(E23=0,0,D9-0.01)</f>
        <v>0</v>
      </c>
      <c r="E23" s="52">
        <f>IFERROR(IF($B$6="ламель50",IF(B7="25мм",D10*VLOOKUP(D8,Данные1!$Z$88:$AA$116,2,FALSE),IF(B7="50мм",D10*VLOOKUP(D8,Данные1!$AD$88:$AE$109,2,FALSE))),0),0)</f>
        <v>0</v>
      </c>
      <c r="F23" s="51">
        <f>IF(G23=0,0,F9-0.01)</f>
        <v>0</v>
      </c>
      <c r="G23" s="52">
        <f>IFERROR(IF($B$6="ламель50",IF(B7="25мм",F10*VLOOKUP(F8,Данные1!$Z$88:$AA$116,2,FALSE),IF(B7="50мм",F10*VLOOKUP(F8,Данные1!$AD$88:$AE$109,2,FALSE))),0),0)</f>
        <v>0</v>
      </c>
      <c r="H23" s="51">
        <f>IF(I23=0,0,H9-0.01)</f>
        <v>0</v>
      </c>
      <c r="I23" s="54">
        <f>IFERROR(IF($B$6="ламель50",IF(B7="25мм",H10*VLOOKUP(H8,Данные1!$Z$88:$AA$116,2,FALSE),IF(B7="50мм",H10*VLOOKUP(H8,Данные1!$AD$88:$AE$109,2,FALSE))),0),0)</f>
        <v>0</v>
      </c>
      <c r="K23" s="9"/>
    </row>
    <row r="24" spans="1:11" ht="16.5" customHeight="1" x14ac:dyDescent="0.25">
      <c r="A24" s="44" t="s">
        <v>328</v>
      </c>
      <c r="B24" s="51">
        <f t="shared" ref="B24:H24" si="0">B23</f>
        <v>0</v>
      </c>
      <c r="C24" s="52">
        <f t="shared" si="0"/>
        <v>0</v>
      </c>
      <c r="D24" s="51">
        <f t="shared" si="0"/>
        <v>0</v>
      </c>
      <c r="E24" s="52">
        <f t="shared" ref="E24" si="1">E23</f>
        <v>0</v>
      </c>
      <c r="F24" s="51">
        <f t="shared" si="0"/>
        <v>0</v>
      </c>
      <c r="G24" s="52">
        <f t="shared" ref="G24" si="2">G23</f>
        <v>0</v>
      </c>
      <c r="H24" s="51">
        <f t="shared" si="0"/>
        <v>0</v>
      </c>
      <c r="I24" s="54">
        <f t="shared" ref="I24" si="3">I23</f>
        <v>0</v>
      </c>
      <c r="K24" s="9"/>
    </row>
    <row r="25" spans="1:11" ht="16.5" customHeight="1" x14ac:dyDescent="0.25">
      <c r="A25" s="44" t="s">
        <v>58</v>
      </c>
      <c r="B25" s="51">
        <f>IF(C25=0,0,B9-0.01)</f>
        <v>0</v>
      </c>
      <c r="C25" s="52">
        <f>IFERROR(IF($B$6="ламель125",B10*VLOOKUP(B8,Данные1!$N$88:$O$102,2,FALSE),0),0)</f>
        <v>0</v>
      </c>
      <c r="D25" s="51">
        <f>IF(E25=0,0,D9-0.01)</f>
        <v>0</v>
      </c>
      <c r="E25" s="52">
        <f>IFERROR(IF($B$6="ламель125",D10*VLOOKUP(D8,Данные1!$N$88:$O$102,2,FALSE),0),0)</f>
        <v>0</v>
      </c>
      <c r="F25" s="51">
        <f>IF(G25=0,0,F9-0.01)</f>
        <v>0</v>
      </c>
      <c r="G25" s="52">
        <f>IFERROR(IF($B$6="ламель125",F10*VLOOKUP(F8,Данные1!$N$88:$O$102,2,FALSE),0),0)</f>
        <v>0</v>
      </c>
      <c r="H25" s="51">
        <f>IF(I25=0,0,H9-0.01)</f>
        <v>0</v>
      </c>
      <c r="I25" s="54">
        <f>IFERROR(IF($B$6="ламель125",H10*VLOOKUP(H8,Данные1!$N$88:$O$102,2,FALSE),0),0)</f>
        <v>0</v>
      </c>
      <c r="K25" s="9"/>
    </row>
    <row r="26" spans="1:11" ht="16.5" customHeight="1" x14ac:dyDescent="0.25">
      <c r="A26" s="44" t="s">
        <v>59</v>
      </c>
      <c r="B26" s="51">
        <f>B25</f>
        <v>0</v>
      </c>
      <c r="C26" s="52">
        <f t="shared" ref="C26:E26" si="4">C25</f>
        <v>0</v>
      </c>
      <c r="D26" s="51">
        <f t="shared" ref="D26:I26" si="5">D25</f>
        <v>0</v>
      </c>
      <c r="E26" s="52">
        <f t="shared" si="4"/>
        <v>0</v>
      </c>
      <c r="F26" s="51">
        <f t="shared" si="5"/>
        <v>0</v>
      </c>
      <c r="G26" s="52">
        <f t="shared" si="5"/>
        <v>0</v>
      </c>
      <c r="H26" s="51">
        <f t="shared" si="5"/>
        <v>0</v>
      </c>
      <c r="I26" s="54">
        <f t="shared" si="5"/>
        <v>0</v>
      </c>
      <c r="K26" s="9"/>
    </row>
    <row r="27" spans="1:11" ht="16.5" customHeight="1" x14ac:dyDescent="0.25">
      <c r="A27" s="44" t="s">
        <v>60</v>
      </c>
      <c r="B27" s="51">
        <f>IF(OR(C27=0,B7="-"),0,B9-0.01)</f>
        <v>0</v>
      </c>
      <c r="C27" s="52">
        <f>IFERROR(IF($B$6="ламель150",IF(B7="25мм",B10*VLOOKUP(B8,Данные1!$R$88:$S$94,2,FALSE),IF(B7="50мм",B10*VLOOKUP(B8,Данные1!$V$88:$W$99,2,FALSE))),0),0)</f>
        <v>0</v>
      </c>
      <c r="D27" s="51">
        <f>IF(OR(E27=0,D7="-"),0,D9-0.01)</f>
        <v>0</v>
      </c>
      <c r="E27" s="52">
        <f>IFERROR(IF($B$6="ламель150",IF(B7="25мм",D10*VLOOKUP(D8,Данные1!$R$88:$S$94,2,FALSE),IF(B7="50мм",D10*VLOOKUP(D8,Данные1!$V$88:$W$99,2,FALSE))),0),0)</f>
        <v>0</v>
      </c>
      <c r="F27" s="51">
        <f>IF(OR(G27=0,F7="-"),0,F9-0.01)</f>
        <v>0</v>
      </c>
      <c r="G27" s="52">
        <f>IFERROR(IF($B$6="ламель150",IF(B7="25мм",F10*VLOOKUP(F8,Данные1!$R$88:$S$94,2,FALSE),IF(B7="50мм",F10*VLOOKUP(F8,Данные1!$V$88:$W$99,2,FALSE))),0),0)</f>
        <v>0</v>
      </c>
      <c r="H27" s="51">
        <f>IF(OR(I27=0,H7="-"),0,H9-0.01)</f>
        <v>0</v>
      </c>
      <c r="I27" s="54">
        <f>IFERROR(IF($B$6="ламель150",IF(B7="25мм",H10*VLOOKUP(H8,Данные1!$R$88:$S$94,2,FALSE),IF(B7="50мм",H10*VLOOKUP(H8,Данные1!$V$88:$W$99,2,FALSE))),0),0)</f>
        <v>0</v>
      </c>
      <c r="K27" s="9"/>
    </row>
    <row r="28" spans="1:11" ht="16.5" customHeight="1" x14ac:dyDescent="0.25">
      <c r="A28" s="44" t="s">
        <v>61</v>
      </c>
      <c r="B28" s="51">
        <f>B27</f>
        <v>0</v>
      </c>
      <c r="C28" s="52">
        <f t="shared" ref="C28:E28" si="6">C27</f>
        <v>0</v>
      </c>
      <c r="D28" s="51">
        <f t="shared" ref="D28:I28" si="7">D27</f>
        <v>0</v>
      </c>
      <c r="E28" s="52">
        <f t="shared" si="6"/>
        <v>0</v>
      </c>
      <c r="F28" s="51">
        <f t="shared" si="7"/>
        <v>0</v>
      </c>
      <c r="G28" s="52">
        <f t="shared" si="7"/>
        <v>0</v>
      </c>
      <c r="H28" s="51">
        <f t="shared" si="7"/>
        <v>0</v>
      </c>
      <c r="I28" s="54">
        <f t="shared" si="7"/>
        <v>0</v>
      </c>
      <c r="K28" s="9"/>
    </row>
    <row r="29" spans="1:11" ht="16.5" customHeight="1" x14ac:dyDescent="0.25">
      <c r="A29" s="44" t="s">
        <v>329</v>
      </c>
      <c r="B29" s="51">
        <f>IF(C29=0,0,B9-0.01)</f>
        <v>0</v>
      </c>
      <c r="C29" s="52">
        <f>IFERROR(IF($B$6="ламель200",IF(B7="25мм",B10*VLOOKUP(B8,Данные1!$AH$88:$AI$98,2,FALSE),IF(B7="50мм",B10*VLOOKUP(B8,Данные1!$AL$88:$AM$97,2,FALSE))),0),0)</f>
        <v>0</v>
      </c>
      <c r="D29" s="51">
        <f>IF(E29=0,0,D9-0.01)</f>
        <v>0</v>
      </c>
      <c r="E29" s="52">
        <f>IFERROR(IF($B$6="ламель200",IF(B7="25мм",D10*VLOOKUP(D8,Данные1!$AH$88:$AI$98,2,FALSE),IF(B7="50мм",D10*VLOOKUP(D8,Данные1!$AL$88:$AM$97,2,FALSE))),0),0)</f>
        <v>0</v>
      </c>
      <c r="F29" s="51">
        <f>IF(G29=0,0,F9-0.01)</f>
        <v>0</v>
      </c>
      <c r="G29" s="52">
        <f>IFERROR(IF($B$6="ламель200",IF(B7="25мм",F10*VLOOKUP(F8,Данные1!$AH$88:$AI$98,2,FALSE),IF(B7="50мм",F10*VLOOKUP(F8,Данные1!$AL$88:$AM$97,2,FALSE))),0),0)</f>
        <v>0</v>
      </c>
      <c r="H29" s="51">
        <f>IF(I29=0,0,H9-0.01)</f>
        <v>0</v>
      </c>
      <c r="I29" s="54">
        <f>IFERROR(IF($B$6="ламель200",IF(B7="25мм",H10*VLOOKUP(H8,Данные1!$AH$88:$AI$98,2,FALSE),IF(B7="50мм",H10*VLOOKUP(H8,Данные1!$AL$88:$AM$97,2,FALSE))),0),0)</f>
        <v>0</v>
      </c>
      <c r="K29" s="9"/>
    </row>
    <row r="30" spans="1:11" ht="16.5" customHeight="1" x14ac:dyDescent="0.25">
      <c r="A30" s="44" t="s">
        <v>330</v>
      </c>
      <c r="B30" s="51">
        <f t="shared" ref="B30:H30" si="8">B29</f>
        <v>0</v>
      </c>
      <c r="C30" s="52">
        <f t="shared" si="8"/>
        <v>0</v>
      </c>
      <c r="D30" s="51">
        <f t="shared" si="8"/>
        <v>0</v>
      </c>
      <c r="E30" s="52">
        <f t="shared" ref="E30" si="9">E29</f>
        <v>0</v>
      </c>
      <c r="F30" s="51">
        <f t="shared" si="8"/>
        <v>0</v>
      </c>
      <c r="G30" s="52">
        <f t="shared" ref="G30" si="10">G29</f>
        <v>0</v>
      </c>
      <c r="H30" s="51">
        <f t="shared" si="8"/>
        <v>0</v>
      </c>
      <c r="I30" s="54">
        <f t="shared" ref="I30" si="11">I29</f>
        <v>0</v>
      </c>
      <c r="K30" s="9"/>
    </row>
    <row r="31" spans="1:11" ht="16.5" customHeight="1" x14ac:dyDescent="0.25">
      <c r="A31" s="44" t="s">
        <v>65</v>
      </c>
      <c r="B31" s="51">
        <f>IF(B7="25мм",25,50)</f>
        <v>50</v>
      </c>
      <c r="C31" s="52"/>
      <c r="D31" s="51">
        <f>IF(B7="25мм",25,50)</f>
        <v>50</v>
      </c>
      <c r="E31" s="52"/>
      <c r="F31" s="51">
        <f>IF(B7="25мм",25,50)</f>
        <v>50</v>
      </c>
      <c r="G31" s="52"/>
      <c r="H31" s="51">
        <f>IF(B7="25мм",25,50)</f>
        <v>50</v>
      </c>
      <c r="I31" s="54"/>
      <c r="K31" s="9"/>
    </row>
    <row r="32" spans="1:11" ht="16.5" customHeight="1" x14ac:dyDescent="0.25">
      <c r="A32" s="44" t="s">
        <v>62</v>
      </c>
      <c r="B32" s="51">
        <f>IF(C32=0,0,IF(AND(B9&gt;=0.5,B9&lt;=2),2,IF(AND(B9&gt;2,B9&lt;=2.5),2.5,IF(AND(B9&gt;2.5,B9&lt;=3),3,0))))</f>
        <v>0</v>
      </c>
      <c r="C32" s="52">
        <f>IF(AND(B9&lt;1.5,B9&lt;&gt;0,$B$6="ламель125"),1*B10,0)</f>
        <v>0</v>
      </c>
      <c r="D32" s="51">
        <f>IF(E32=0,0,IF(AND(D9&gt;=0.5,D9&lt;=2),2,IF(AND(D9&gt;2,D9&lt;=2.5),2.5,IF(AND(D9&gt;2.5,D9&lt;=3),3,0))))</f>
        <v>0</v>
      </c>
      <c r="E32" s="52">
        <f>IF(AND(D9&lt;1.5,D9&lt;&gt;0,$B$6="ламель125"),1*D10,0)</f>
        <v>0</v>
      </c>
      <c r="F32" s="51">
        <f>IF(G32=0,0,IF(AND(F9&gt;=0.5,F9&lt;=2),2,IF(AND(F9&gt;2,F9&lt;=2.5),2.5,IF(AND(F9&gt;2.5,F9&lt;=3),3,0))))</f>
        <v>0</v>
      </c>
      <c r="G32" s="52">
        <f>IF(AND(F9&lt;1.5,F9&lt;&gt;0,$B$6="ламель125"),1*F10,0)</f>
        <v>0</v>
      </c>
      <c r="H32" s="51">
        <f>IF(I32=0,0,IF(AND(H9&gt;=0.5,H9&lt;=2),2,IF(AND(H9&gt;2,H9&lt;=2.5),2.5,IF(AND(H9&gt;2.5,H9&lt;=3),3,0))))</f>
        <v>0</v>
      </c>
      <c r="I32" s="54">
        <f>IF(AND(H9&lt;1.5,H9&lt;&gt;0,$B$6="ламель125"),1*H10,0)</f>
        <v>0</v>
      </c>
      <c r="K32" s="9"/>
    </row>
    <row r="33" spans="1:11" ht="16.5" customHeight="1" x14ac:dyDescent="0.25">
      <c r="A33" s="44" t="s">
        <v>63</v>
      </c>
      <c r="B33" s="51">
        <f>IF(C33=0,0,IF(AND(B9&gt;=0.5,B9&lt;=2),2,IF(AND(B9&gt;2,B9&lt;=2.5),2.5,IF(AND(B9&gt;2.5,B9&lt;=3),3,0))))</f>
        <v>0</v>
      </c>
      <c r="C33" s="52">
        <f>IF(AND(B9&lt;1.5,B9&lt;&gt;0,OR(B6="ламель50",B6="ламель150",B6="ламель200")),1*B10,0)</f>
        <v>0</v>
      </c>
      <c r="D33" s="51">
        <f>IF(E33=0,0,IF(AND(D9&gt;=0.5,D9&lt;=2),2,IF(AND(D9&gt;2,D9&lt;=2.5),2.5,IF(AND(D9&gt;2.5,D9&lt;=3),3,0))))</f>
        <v>0</v>
      </c>
      <c r="E33" s="52">
        <f>IF(AND(D9&lt;1.5,D9&lt;&gt;0,OR(B6="ламель50",B6="ламель150",B6="ламель200")),1*D10,0)</f>
        <v>0</v>
      </c>
      <c r="F33" s="51">
        <f>IF(G33=0,0,IF(AND(F9&gt;=0.5,F9&lt;=2),2,IF(AND(F9&gt;2,F9&lt;=2.5),2.5,IF(AND(F9&gt;2.5,F9&lt;=3),3,0))))</f>
        <v>0</v>
      </c>
      <c r="G33" s="52">
        <f>IF(AND(F9&lt;1.5,F9&lt;&gt;0,OR(B6="ламель50",B6="ламель150",B6="ламель200")),1*F10,0)</f>
        <v>0</v>
      </c>
      <c r="H33" s="51">
        <f>IF(I33=0,0,IF(AND(H9&gt;=0.5,H9&lt;=2),2,IF(AND(H9&gt;2,H9&lt;=2.5),2.5,IF(AND(H9&gt;2.5,H9&lt;=3),3,0))))</f>
        <v>0</v>
      </c>
      <c r="I33" s="54">
        <f>IF(AND(H9&lt;1.5,H9&lt;&gt;0,OR(B6="ламель50",B6="ламель150",B6="ламель200")),1*H10,0)</f>
        <v>0</v>
      </c>
      <c r="K33" s="9"/>
    </row>
    <row r="34" spans="1:11" ht="16.5" customHeight="1" x14ac:dyDescent="0.25">
      <c r="A34" s="44" t="s">
        <v>185</v>
      </c>
      <c r="B34" s="51">
        <f>IF(C34=0,0,IF(AND(B9&gt;=0.5,B9&lt;=2),2,IF(AND(B9&gt;2,B9&lt;=2.5),2.5,IF(AND(B9&gt;2.5,B9&lt;=3),3,0))))</f>
        <v>0</v>
      </c>
      <c r="C34" s="52">
        <f>IF(B9&gt;=1.5,1*B10,0)</f>
        <v>0</v>
      </c>
      <c r="D34" s="51">
        <f>IF(E34=0,0,IF(AND(D9&gt;=0.5,D9&lt;=2),2,IF(AND(D9&gt;2,D9&lt;=2.5),2.5,IF(AND(D9&gt;2.5,D9&lt;=3),3,0))))</f>
        <v>0</v>
      </c>
      <c r="E34" s="52">
        <f>IF(D9&gt;=1.5,1*D10,0)</f>
        <v>0</v>
      </c>
      <c r="F34" s="51">
        <f>IF(G34=0,0,IF(AND(F9&gt;=0.5,F9&lt;=2),2,IF(AND(F9&gt;2,F9&lt;=2.5),2.5,IF(AND(F9&gt;2.5,F9&lt;=3),3,0))))</f>
        <v>0</v>
      </c>
      <c r="G34" s="52">
        <f>IF(F9&gt;=1.5,1*F10,0)</f>
        <v>0</v>
      </c>
      <c r="H34" s="51">
        <f>IF(I34=0,0,IF(AND(H9&gt;=0.5,H9&lt;=2),2,IF(AND(H9&gt;2,H9&lt;=2.5),2.5,IF(AND(H9&gt;2.5,H9&lt;=3),3,0))))</f>
        <v>0</v>
      </c>
      <c r="I34" s="54">
        <f>IF(H9&gt;=1.5,1*H10,0)</f>
        <v>0</v>
      </c>
      <c r="K34" s="9"/>
    </row>
    <row r="35" spans="1:11" ht="16.5" customHeight="1" x14ac:dyDescent="0.25">
      <c r="A35" s="44" t="s">
        <v>4</v>
      </c>
      <c r="B35" s="51">
        <f>IF(AND(B8&gt;0,B13="да"),0,IF(AND(B8&gt;=0.1, B8&lt;=1.8), 1.8, IF(AND(B8&gt;1.8, B8&lt;=2), 2, IF(AND(B8&gt;2, B8&lt;=2.5), 2.5, IF(AND(B8&gt;2.5, B8&lt;=3), 3, 0)))))</f>
        <v>0</v>
      </c>
      <c r="C35" s="52">
        <f>IF(B35=0,0,IF(B10=0,0,IF(B10=1,2*2,IF(B12=0,(B10+1)*2-C36,(B10+1+B12)*2-C36))))</f>
        <v>0</v>
      </c>
      <c r="D35" s="51">
        <f>IF(AND(D8&gt;0,D13="да"),0,IF(AND(D8&gt;=0.1, D8&lt;=1.8), 1.8, IF(AND(D8&gt;1.8, D8&lt;=2), 2, IF(AND(D8&gt;2, D8&lt;=2.5), 2.5, IF(AND(D8&gt;2.5, D8&lt;=3), 3, 0)))))</f>
        <v>0</v>
      </c>
      <c r="E35" s="52">
        <f>IF(D35=0,0,IF(D10=0,0,IF(D10=1,2*2,IF(D12=0,(D10+1)*2-E36,(D10+1+D12)*2-E36))))</f>
        <v>0</v>
      </c>
      <c r="F35" s="51">
        <f>IF(AND(F8&gt;0,F13="да"),0,IF(AND(F8&gt;=0.1, F8&lt;=1.8), 1.8, IF(AND(F8&gt;1.8, F8&lt;=2), 2, IF(AND(F8&gt;2, F8&lt;=2.5), 2.5, IF(AND(F8&gt;2.5, F8&lt;=3), 3, 0)))))</f>
        <v>0</v>
      </c>
      <c r="G35" s="52">
        <f>IF(F35=0,0,IF(F10=0,0,IF(F10=1,2*2,IF(F12=0,(F10+1)*2-G36,(F10+1+F12)*2-G36))))</f>
        <v>0</v>
      </c>
      <c r="H35" s="51">
        <f>IF(AND(H8&gt;0,H13="да"),0,IF(AND(H8&gt;=0.1, H8&lt;=1.8), 1.8, IF(AND(H8&gt;1.8, H8&lt;=2), 2, IF(AND(H8&gt;2, H8&lt;=2.5), 2.5, IF(AND(H8&gt;2.5, H8&lt;=3), 3, 0)))))</f>
        <v>0</v>
      </c>
      <c r="I35" s="54">
        <f>IF(H35=0,0,IF(H10=0,0,IF(H10=1,2*2,IF(H12=0,(H10+1)*2-I36,(H10+1+H12)*2-I36))))</f>
        <v>0</v>
      </c>
    </row>
    <row r="36" spans="1:11" ht="16.5" customHeight="1" x14ac:dyDescent="0.25">
      <c r="A36" s="44" t="s">
        <v>8</v>
      </c>
      <c r="B36" s="51">
        <f>IF(OR(AND(B11=0,B12=0),B13="да"),0,IF(AND(B8&gt;=0.1, B8&lt;=1.8), 1.8, IF(AND(B8&gt;1.8, B8&lt;=2), 2, IF(AND(B8&gt;2, B8&lt;=2.5), 2.5, IF(AND(B8&gt;2.5, B8&lt;=3), 3, 0)))))</f>
        <v>0</v>
      </c>
      <c r="C36" s="52">
        <f>IF(B36=0,0,B11*2*2+B12*2)</f>
        <v>0</v>
      </c>
      <c r="D36" s="51">
        <f>IF(OR(AND(D11=0,D12=0),D13="да"),0,IF(AND(D8&gt;=0.1, D8&lt;=1.8), 1.8, IF(AND(D8&gt;1.8, D8&lt;=2), 2, IF(AND(D8&gt;2, D8&lt;=2.5), 2.5, IF(AND(D8&gt;2.5, D8&lt;=3), 3, 0)))))</f>
        <v>0</v>
      </c>
      <c r="E36" s="52">
        <f>IF(D36=0,0,D11*2*2+D12*2)</f>
        <v>0</v>
      </c>
      <c r="F36" s="51">
        <f>IF(OR(AND(F11=0,F12=0),F13="да"),0,IF(AND(F8&gt;=0.1, F8&lt;=1.8), 1.8, IF(AND(F8&gt;1.8, F8&lt;=2), 2, IF(AND(F8&gt;2, F8&lt;=2.5), 2.5, IF(AND(F8&gt;2.5, F8&lt;=3), 3, 0)))))</f>
        <v>0</v>
      </c>
      <c r="G36" s="52">
        <f>IF(F36=0,0,F11*2*2+F12*2)</f>
        <v>0</v>
      </c>
      <c r="H36" s="51">
        <f>IF(OR(AND(H11=0,H12=0),H13="да"),0,IF(AND(H8&gt;=0.1, H8&lt;=1.8), 1.8, IF(AND(H8&gt;1.8, H8&lt;=2), 2, IF(AND(H8&gt;2, H8&lt;=2.5), 2.5, IF(AND(H8&gt;2.5, H8&lt;=3), 3, 0)))))</f>
        <v>0</v>
      </c>
      <c r="I36" s="54">
        <f>IF(H36=0,0,H11*2*2+H12*2)</f>
        <v>0</v>
      </c>
    </row>
    <row r="37" spans="1:11" ht="16.5" customHeight="1" x14ac:dyDescent="0.25">
      <c r="A37" s="44" t="s">
        <v>117</v>
      </c>
      <c r="B37" s="51">
        <f>IF(C37=0,0,IF(B10=0,0,IF(AND(B8&gt;=0.1, B8&lt;=1.8), 1.8, IF(AND(B8&gt;1.8, B8&lt;=2), 2, IF(AND(B8&gt;2, B8&lt;=2.5), 2.5, IF(AND(B8&gt;2.5, B8&lt;=3), 3, 0))))))</f>
        <v>0</v>
      </c>
      <c r="C37" s="52">
        <f>B10*(IF(AND(B9&gt;=0, B9&lt;=1.49),0,IF(AND(B9&gt;1.5, B9&lt;=2),1,IF(AND(B9&gt;2.01, B9&lt;=3),2,0))))</f>
        <v>0</v>
      </c>
      <c r="D37" s="51">
        <f>IF(E37=0,0,IF(D10=0,0,IF(AND(D8&gt;=0.1, D8&lt;=1.8), 1.8, IF(AND(D8&gt;1.8, D8&lt;=2), 2, IF(AND(D8&gt;2, D8&lt;=2.5), 2.5, IF(AND(D8&gt;2.5, D8&lt;=3), 3, 0))))))</f>
        <v>0</v>
      </c>
      <c r="E37" s="52">
        <f>D10*(IF(AND(D9&gt;=0, D9&lt;=1.49),0,IF(AND(D9&gt;1.5, D9&lt;=2),1,IF(AND(D9&gt;2.01, D9&lt;=3),2,0))))</f>
        <v>0</v>
      </c>
      <c r="F37" s="51">
        <f>IF(G37=0,0,IF(F10=0,0,IF(AND(F8&gt;=0.1, F8&lt;=1.8), 1.8, IF(AND(F8&gt;1.8, F8&lt;=2), 2, IF(AND(F8&gt;2, F8&lt;=2.5), 2.5, IF(AND(F8&gt;2.5, F8&lt;=3), 3, 0))))))</f>
        <v>0</v>
      </c>
      <c r="G37" s="52">
        <f>F10*(IF(AND(F9&gt;=0, F9&lt;=1.49),0,IF(AND(F9&gt;1.5, F9&lt;=2),1,IF(AND(F9&gt;2.01, F9&lt;=3),2,0))))</f>
        <v>0</v>
      </c>
      <c r="H37" s="51">
        <f>IF(I37=0,0,IF(H10=0,0,IF(AND(H8&gt;=0.1, H8&lt;=1.8), 1.8, IF(AND(H8&gt;1.8, H8&lt;=2), 2, IF(AND(H8&gt;2, H8&lt;=2.5), 2.5, IF(AND(H8&gt;2.5, H8&lt;=3), 3, 0))))))</f>
        <v>0</v>
      </c>
      <c r="I37" s="54">
        <f>H10*(IF(AND(H9&gt;=0, H9&lt;=1.49),0,IF(AND(H9&gt;1.5, H9&lt;=2),1,IF(AND(H9&gt;2.01, H9&lt;=3),2,0))))</f>
        <v>0</v>
      </c>
    </row>
    <row r="38" spans="1:11" ht="16.5" customHeight="1" x14ac:dyDescent="0.25">
      <c r="A38" s="44" t="s">
        <v>118</v>
      </c>
      <c r="B38" s="51">
        <f>IF(C38=0,0,IF(B10=0,0,IF(AND(B8&gt;=0.1, B8&lt;=1.8), 1.8, IF(AND(B8&gt;1.8, B8&lt;=2), 2, IF(AND(B8&gt;2, B8&lt;=2.5), 2.5, IF(AND(B8&gt;2.5, B8&lt;=3), 3, 0))))))</f>
        <v>0</v>
      </c>
      <c r="C38" s="52">
        <f>B10*(IF(AND(B9&gt;=0, B9&lt;=1.49),0,IF(AND(B9&gt;1.5, B9&lt;=2),1,IF(AND(B9&gt;2.01, B9&lt;=3),2,0))))</f>
        <v>0</v>
      </c>
      <c r="D38" s="51">
        <f>IF(E38=0,0,IF(D10=0,0,IF(AND(D8&gt;=0.1, D8&lt;=1.8), 1.8, IF(AND(D8&gt;1.8, D8&lt;=2), 2, IF(AND(D8&gt;2, D8&lt;=2.5), 2.5, IF(AND(D8&gt;2.5, D8&lt;=3), 3, 0))))))</f>
        <v>0</v>
      </c>
      <c r="E38" s="52">
        <f>D10*(IF(AND(D9&gt;=0, D9&lt;=1.49),0,IF(AND(D9&gt;1.5, D9&lt;=2),1,IF(AND(D9&gt;2.01, D9&lt;=3),2,0))))</f>
        <v>0</v>
      </c>
      <c r="F38" s="51">
        <f>IF(G38=0,0,IF(F10=0,0,IF(AND(F8&gt;=0.1, F8&lt;=1.8), 1.8, IF(AND(F8&gt;1.8, F8&lt;=2), 2, IF(AND(F8&gt;2, F8&lt;=2.5), 2.5, IF(AND(F8&gt;2.5, F8&lt;=3), 3, 0))))))</f>
        <v>0</v>
      </c>
      <c r="G38" s="52">
        <f>F10*(IF(AND(F9&gt;=0, F9&lt;=1.49),0,IF(AND(F9&gt;1.5, F9&lt;=2),1,IF(AND(F9&gt;2.01, F9&lt;=3),2,0))))</f>
        <v>0</v>
      </c>
      <c r="H38" s="51">
        <f>IF(I38=0,0,IF(H10=0,0,IF(AND(H8&gt;=0.1, H8&lt;=1.8), 1.8, IF(AND(H8&gt;1.8, H8&lt;=2), 2, IF(AND(H8&gt;2, H8&lt;=2.5), 2.5, IF(AND(H8&gt;2.5, H8&lt;=3), 3, 0))))))</f>
        <v>0</v>
      </c>
      <c r="I38" s="54">
        <f>H10*(IF(AND(H9&gt;=0, H9&lt;=1.49),0,IF(AND(H9&gt;1.5, H9&lt;=2),1,IF(AND(H9&gt;2.01, H9&lt;=3),2,0))))</f>
        <v>0</v>
      </c>
    </row>
    <row r="39" spans="1:11" ht="16.5" customHeight="1" x14ac:dyDescent="0.25">
      <c r="A39" s="44" t="s">
        <v>64</v>
      </c>
      <c r="B39" s="51">
        <f>IF(B10=0,0,IF(AND(B8&gt;=0.1, B8&lt;=1.8), 1.8, IF(AND(B8&gt;1.8, B8&lt;=2), 2, IF(AND(B8&gt;2, B8&lt;=2.5), 2.5, IF(AND(B8&gt;2.5, B8&lt;=3), 3, 0)))))</f>
        <v>0</v>
      </c>
      <c r="C39" s="52">
        <f>2*B10</f>
        <v>0</v>
      </c>
      <c r="D39" s="51">
        <f>IF(D10=0,0,IF(AND(D8&gt;=0.1, D8&lt;=1.8), 1.8, IF(AND(D8&gt;1.8, D8&lt;=2), 2, IF(AND(D8&gt;2, D8&lt;=2.5), 2.5, IF(AND(D8&gt;2.5, D8&lt;=3), 3, 0)))))</f>
        <v>0</v>
      </c>
      <c r="E39" s="52">
        <f>2*D10</f>
        <v>0</v>
      </c>
      <c r="F39" s="51">
        <f>IF(F10=0,0,IF(AND(F8&gt;=0.1, F8&lt;=1.8), 1.8, IF(AND(F8&gt;1.8, F8&lt;=2), 2, IF(AND(F8&gt;2, F8&lt;=2.5), 2.5, IF(AND(F8&gt;2.5, F8&lt;=3), 3, 0)))))</f>
        <v>0</v>
      </c>
      <c r="G39" s="52">
        <f>2*F10</f>
        <v>0</v>
      </c>
      <c r="H39" s="51">
        <f>IF(H10=0,0,IF(AND(H8&gt;=0.1, H8&lt;=1.8), 1.8, IF(AND(H8&gt;1.8, H8&lt;=2), 2, IF(AND(H8&gt;2, H8&lt;=2.5), 2.5, IF(AND(H8&gt;2.5, H8&lt;=3), 3, 0)))))</f>
        <v>0</v>
      </c>
      <c r="I39" s="54">
        <f>2*H10</f>
        <v>0</v>
      </c>
    </row>
    <row r="40" spans="1:11" ht="16.5" customHeight="1" x14ac:dyDescent="0.25">
      <c r="A40" s="37" t="s">
        <v>81</v>
      </c>
      <c r="B40" s="55" t="s">
        <v>10</v>
      </c>
      <c r="C40" s="52">
        <f>IF(B13="да",0,(IF(B10=0,0,IF(B10=1,2,IF(B12=0,B10+1,B10+1+B12)))))</f>
        <v>0</v>
      </c>
      <c r="D40" s="55" t="s">
        <v>10</v>
      </c>
      <c r="E40" s="52">
        <f>IF(D13="да",0,(IF(D10=0,0,IF(D10=1,2,IF(D12=0,D10+1,D10+1+D12)))))</f>
        <v>0</v>
      </c>
      <c r="F40" s="55" t="s">
        <v>10</v>
      </c>
      <c r="G40" s="52">
        <f>IF(F13="да",0,(IF(F10=0,0,IF(F10=1,2,IF(F12=0,F10+1,F10+1+F12)))))</f>
        <v>0</v>
      </c>
      <c r="H40" s="55" t="s">
        <v>10</v>
      </c>
      <c r="I40" s="54">
        <f>IF(H13="да",0,(IF(H10=0,0,IF(H10=1,2,IF(H12=0,H10+1,H10+1+H12)))))</f>
        <v>0</v>
      </c>
    </row>
    <row r="41" spans="1:11" ht="16.5" customHeight="1" x14ac:dyDescent="0.25">
      <c r="A41" s="38" t="s">
        <v>66</v>
      </c>
      <c r="B41" s="55" t="str">
        <f>IF(C41=0,"-","4,2x16")</f>
        <v>-</v>
      </c>
      <c r="C41" s="52">
        <f>IF(B13="да",0,(C39*5))</f>
        <v>0</v>
      </c>
      <c r="D41" s="55" t="str">
        <f>IF(E41=0,"-","4,2x16")</f>
        <v>-</v>
      </c>
      <c r="E41" s="52">
        <f>IF(D13="да",0,(E39*5))</f>
        <v>0</v>
      </c>
      <c r="F41" s="55" t="str">
        <f>IF(G41=0,"-","4,2x16")</f>
        <v>-</v>
      </c>
      <c r="G41" s="52">
        <f>IF(F13="да",0,(G39*5))</f>
        <v>0</v>
      </c>
      <c r="H41" s="55" t="str">
        <f>IF(I41=0,"-","4,2x16")</f>
        <v>-</v>
      </c>
      <c r="I41" s="54">
        <f>IF(H13="да",0,(I39*5))</f>
        <v>0</v>
      </c>
    </row>
    <row r="42" spans="1:11" ht="16.5" customHeight="1" x14ac:dyDescent="0.25">
      <c r="A42" s="44" t="s">
        <v>13</v>
      </c>
      <c r="B42" s="55" t="str">
        <f>IF(C42=0,"-","4,2x16")</f>
        <v>-</v>
      </c>
      <c r="C42" s="52">
        <f>IF(B17="нет",C23*8+C25*8+C27*8+C29*8+C32*4+C33*4+IF(B10&gt;0,C23/B10*C37+C25/B10*C37+C29/B10*C37+C27/B10*C37,0),SUM(C32:C34)*4+(SUM(C23,C25,C27,C29)/B10*SUM(C37))*3)</f>
        <v>0</v>
      </c>
      <c r="D42" s="55" t="str">
        <f>IF(E42=0,"-","4,2x16")</f>
        <v>-</v>
      </c>
      <c r="E42" s="52">
        <f>IF(D17="нет",E23*8+E25*8+E27*8+E29*8+E32*4+E33*4+IF(D10&gt;0,E23/D10*E37+E25/D10*E37+E29/D10*E37+E27/D10*E37,0),SUM(E32:E34)*4+(SUM(E23,E25,E27,E29)/D10*SUM(E37))*3)</f>
        <v>0</v>
      </c>
      <c r="F42" s="55" t="str">
        <f>IF(G42=0,"-","4,2x16")</f>
        <v>-</v>
      </c>
      <c r="G42" s="52">
        <f>IF(F17="нет",G23*8+G25*8+G27*8+G29*8+G32*4+G33*4+IF(F10&gt;0,G23/F10*G37+G25/F10*G37+G29/F10*G37+G27/F10*G37,0),SUM(G32:G34)*4+(SUM(G23,G25,G27,G29)/F10*SUM(G37))*3)</f>
        <v>0</v>
      </c>
      <c r="H42" s="55" t="str">
        <f>IF(I42=0,"-","4,2x16")</f>
        <v>-</v>
      </c>
      <c r="I42" s="54">
        <f>IF(H17="нет",I23*8+I25*8+I27*8+I29*8+I32*4+I33*4+IF(H10&gt;0,I23/H10*I37+I25/H10*I37+I29/H10*I37+I27/H10*I37,0),SUM(I32:I34)*4+(SUM(I23,I25,I27,I29)/H10*SUM(I37))*3)</f>
        <v>0</v>
      </c>
    </row>
    <row r="43" spans="1:11" ht="16.5" customHeight="1" x14ac:dyDescent="0.25">
      <c r="A43" s="44" t="s">
        <v>171</v>
      </c>
      <c r="B43" s="55" t="str">
        <f>IF(C43=0,"-","7,5x52")</f>
        <v>-</v>
      </c>
      <c r="C43" s="52">
        <f>IF(B$10=0,0,IF(B$13="да",C39*5,0))</f>
        <v>0</v>
      </c>
      <c r="D43" s="55" t="str">
        <f>IF(E43=0,"-","7,5x52")</f>
        <v>-</v>
      </c>
      <c r="E43" s="52">
        <f>IF(D$10=0,0,IF(D$13="да",E39*5,0))</f>
        <v>0</v>
      </c>
      <c r="F43" s="55" t="str">
        <f>IF(G43=0,"-","7,5x52")</f>
        <v>-</v>
      </c>
      <c r="G43" s="52">
        <f>IF(F$10=0,0,IF(F$13="да",G39*5,0))</f>
        <v>0</v>
      </c>
      <c r="H43" s="55" t="str">
        <f>IF(I43=0,"-","7,5x52")</f>
        <v>-</v>
      </c>
      <c r="I43" s="54">
        <f>IF(H$10=0,0,IF(H$13="да",I39*5,0))</f>
        <v>0</v>
      </c>
    </row>
    <row r="44" spans="1:11" ht="16.5" customHeight="1" x14ac:dyDescent="0.25">
      <c r="A44" s="44" t="s">
        <v>51</v>
      </c>
      <c r="B44" s="55"/>
      <c r="C44" s="52">
        <f>C43</f>
        <v>0</v>
      </c>
      <c r="D44" s="55"/>
      <c r="E44" s="52">
        <f>E43</f>
        <v>0</v>
      </c>
      <c r="F44" s="55"/>
      <c r="G44" s="52">
        <f>G43</f>
        <v>0</v>
      </c>
      <c r="H44" s="55"/>
      <c r="I44" s="54">
        <f>I43</f>
        <v>0</v>
      </c>
    </row>
    <row r="45" spans="1:11" ht="16.5" customHeight="1" x14ac:dyDescent="0.25">
      <c r="A45" s="44" t="s">
        <v>300</v>
      </c>
      <c r="B45" s="55" t="str">
        <f>IF(C45="инд. расчет","инд. расчет","")</f>
        <v/>
      </c>
      <c r="C45" s="52">
        <f>IF(B8=0,0,IF(AND(B17="да",B8&lt;=2),B10,IF(AND(B17="нет",B8&gt;=2),0,ROUNDUP(B8/2*B10,0))))</f>
        <v>0</v>
      </c>
      <c r="D45" s="55" t="str">
        <f>IF(E45="инд. расчет","инд. расчет","")</f>
        <v/>
      </c>
      <c r="E45" s="52">
        <f>IF(D8=0,0,IF(AND(D17="да",D8&lt;=2),D10,IF(AND(D17="нет",D8&gt;=2),0,ROUNDUP(D8/2*D10,0))))</f>
        <v>0</v>
      </c>
      <c r="F45" s="55" t="str">
        <f>IF(G45="инд. расчет","инд. расчет","")</f>
        <v/>
      </c>
      <c r="G45" s="52">
        <f>IF(F8=0,0,IF(AND(F17="да",F8&lt;=2),F10,IF(AND(F17="нет",F8&gt;=2),0,ROUNDUP(F8/2*F10,0))))</f>
        <v>0</v>
      </c>
      <c r="H45" s="55" t="str">
        <f>IF(I45="инд. расчет","инд. расчет","")</f>
        <v/>
      </c>
      <c r="I45" s="54">
        <f>IF(H8=0,0,IF(AND(H17="да",H8&lt;=2),H10,IF(AND(H17="нет",H8&gt;=2),0,ROUNDUP(H8/2*H10,0))))</f>
        <v>0</v>
      </c>
    </row>
    <row r="46" spans="1:11" ht="16.5" customHeight="1" x14ac:dyDescent="0.25">
      <c r="A46" s="44" t="s">
        <v>301</v>
      </c>
      <c r="B46" s="55" t="str">
        <f>IF(C46="инд. расчет","инд. расчет","")</f>
        <v/>
      </c>
      <c r="C46" s="52">
        <f>IF(B8=0,0,IF(AND(B17="да",B8&lt;=2),B10,IF(AND(B17="нет",B8&gt;=2),0,ROUNDUP(B8/2*B10,0))))</f>
        <v>0</v>
      </c>
      <c r="D46" s="55" t="str">
        <f>IF(E46="инд. расчет","инд. расчет","")</f>
        <v/>
      </c>
      <c r="E46" s="52">
        <f>IF(D8=0,0,IF(AND(D17="да",D8&lt;=2),D10,IF(AND(D17="нет",D8&gt;=2),0,ROUNDUP(D8/2*D10,0))))</f>
        <v>0</v>
      </c>
      <c r="F46" s="55" t="str">
        <f>IF(G46="инд. расчет","инд. расчет","")</f>
        <v/>
      </c>
      <c r="G46" s="52">
        <f>IF(F8=0,0,IF(AND(F17="да",F8&lt;=2),F10,IF(AND(F17="нет",F8&gt;=2),0,ROUNDUP(F8/2*F10,0))))</f>
        <v>0</v>
      </c>
      <c r="H46" s="55" t="str">
        <f>IF(I46="инд. расчет","инд. расчет","")</f>
        <v/>
      </c>
      <c r="I46" s="54">
        <f>IF(H8=0,0,IF(AND(H17="да",H8&lt;=2),H10,IF(AND(H17="нет",H8&gt;=2),0,ROUNDUP(H8/2*H10,0))))</f>
        <v>0</v>
      </c>
    </row>
    <row r="47" spans="1:11" ht="34.5" customHeight="1" x14ac:dyDescent="0.25">
      <c r="A47" s="44"/>
      <c r="B47" s="206" t="str">
        <f>IF(B17="нет","Крепежный вкладыш не применяется","")</f>
        <v>Крепежный вкладыш не применяется</v>
      </c>
      <c r="C47" s="207"/>
      <c r="D47" s="206" t="str">
        <f>IF(D17="нет","Крепежный вкладыш не применяется","")</f>
        <v>Крепежный вкладыш не применяется</v>
      </c>
      <c r="E47" s="207"/>
      <c r="F47" s="206" t="str">
        <f>IF(F17="нет","Крепежный вкладыш не применяется","")</f>
        <v>Крепежный вкладыш не применяется</v>
      </c>
      <c r="G47" s="207"/>
      <c r="H47" s="206" t="str">
        <f>IF(H17="нет","Крепежный вкладыш не применяется","")</f>
        <v>Крепежный вкладыш не применяется</v>
      </c>
      <c r="I47" s="207"/>
    </row>
    <row r="48" spans="1:11" ht="16.5" customHeight="1" x14ac:dyDescent="0.25">
      <c r="A48" s="71" t="s">
        <v>15</v>
      </c>
      <c r="B48" s="76"/>
      <c r="C48" s="77"/>
      <c r="D48" s="78"/>
      <c r="E48" s="79"/>
      <c r="F48" s="80"/>
      <c r="G48" s="77"/>
      <c r="H48" s="80"/>
      <c r="I48" s="76"/>
    </row>
    <row r="49" spans="1:11" ht="16.5" customHeight="1" x14ac:dyDescent="0.25">
      <c r="A49" s="44" t="str">
        <f>IF(B14="нет","-",B14)</f>
        <v>-</v>
      </c>
      <c r="B49" s="57"/>
      <c r="C49" s="52">
        <f>IF(B$14=$A49,1,0)</f>
        <v>0</v>
      </c>
      <c r="D49" s="58"/>
      <c r="E49" s="52"/>
      <c r="F49" s="58"/>
      <c r="G49" s="52"/>
      <c r="H49" s="58"/>
      <c r="I49" s="54"/>
    </row>
    <row r="50" spans="1:11" ht="16.5" customHeight="1" x14ac:dyDescent="0.25">
      <c r="A50" s="44" t="str">
        <f>IF(D14="нет","-",D14)</f>
        <v>-</v>
      </c>
      <c r="B50" s="57"/>
      <c r="C50" s="52"/>
      <c r="D50" s="58"/>
      <c r="E50" s="52">
        <f>IF(D$14=$A50,1,0)</f>
        <v>0</v>
      </c>
      <c r="F50" s="58"/>
      <c r="G50" s="52"/>
      <c r="H50" s="58"/>
      <c r="I50" s="54"/>
    </row>
    <row r="51" spans="1:11" ht="16.5" customHeight="1" x14ac:dyDescent="0.25">
      <c r="A51" s="44" t="str">
        <f>IF(F14="нет","-",F14)</f>
        <v>-</v>
      </c>
      <c r="B51" s="57"/>
      <c r="C51" s="52"/>
      <c r="D51" s="58"/>
      <c r="E51" s="52"/>
      <c r="F51" s="58"/>
      <c r="G51" s="52">
        <f>IF(F$14=$A51,1,0)</f>
        <v>0</v>
      </c>
      <c r="H51" s="58"/>
      <c r="I51" s="54"/>
    </row>
    <row r="52" spans="1:11" ht="16.5" customHeight="1" x14ac:dyDescent="0.25">
      <c r="A52" s="44" t="str">
        <f>IF(H14="нет","-",H14)</f>
        <v>-</v>
      </c>
      <c r="B52" s="57"/>
      <c r="C52" s="52"/>
      <c r="D52" s="58"/>
      <c r="E52" s="52"/>
      <c r="F52" s="58"/>
      <c r="G52" s="52"/>
      <c r="H52" s="58"/>
      <c r="I52" s="54">
        <f>IF(H$14=$A52,1,0)</f>
        <v>0</v>
      </c>
    </row>
    <row r="53" spans="1:11" ht="16.5" customHeight="1" x14ac:dyDescent="0.25">
      <c r="A53" s="71" t="s">
        <v>18</v>
      </c>
      <c r="B53" s="76"/>
      <c r="C53" s="77"/>
      <c r="D53" s="78"/>
      <c r="E53" s="77"/>
      <c r="F53" s="80"/>
      <c r="G53" s="77"/>
      <c r="H53" s="80"/>
      <c r="I53" s="76"/>
    </row>
    <row r="54" spans="1:11" ht="16.5" customHeight="1" x14ac:dyDescent="0.25">
      <c r="A54" s="44" t="str">
        <f>IF(B15="нет","-",B15)</f>
        <v>-</v>
      </c>
      <c r="B54" s="57"/>
      <c r="C54" s="52">
        <f>IF(B$15=$A54,1,0)</f>
        <v>0</v>
      </c>
      <c r="D54" s="58"/>
      <c r="E54" s="52"/>
      <c r="F54" s="58"/>
      <c r="G54" s="52"/>
      <c r="H54" s="58"/>
      <c r="I54" s="54"/>
    </row>
    <row r="55" spans="1:11" ht="16.5" customHeight="1" x14ac:dyDescent="0.25">
      <c r="A55" s="44" t="str">
        <f>IF(D15="нет","-",D15)</f>
        <v>-</v>
      </c>
      <c r="B55" s="57"/>
      <c r="C55" s="52"/>
      <c r="D55" s="58"/>
      <c r="E55" s="52">
        <f t="shared" ref="E55" si="12">IF(D$15=$A55,1,0)</f>
        <v>0</v>
      </c>
      <c r="F55" s="58"/>
      <c r="G55" s="52"/>
      <c r="H55" s="58"/>
      <c r="I55" s="54"/>
    </row>
    <row r="56" spans="1:11" ht="16.5" customHeight="1" x14ac:dyDescent="0.25">
      <c r="A56" s="44" t="str">
        <f>IF(F15="нет","-",F15)</f>
        <v>-</v>
      </c>
      <c r="B56" s="57"/>
      <c r="C56" s="52"/>
      <c r="D56" s="58"/>
      <c r="E56" s="52"/>
      <c r="F56" s="58"/>
      <c r="G56" s="52">
        <f t="shared" ref="G56" si="13">IF(F$15=$A56,1,0)</f>
        <v>0</v>
      </c>
      <c r="H56" s="58"/>
      <c r="I56" s="54"/>
    </row>
    <row r="57" spans="1:11" ht="16.5" customHeight="1" x14ac:dyDescent="0.25">
      <c r="A57" s="44" t="str">
        <f>IF(H15="нет","-",H15)</f>
        <v>-</v>
      </c>
      <c r="B57" s="57"/>
      <c r="C57" s="52"/>
      <c r="D57" s="58"/>
      <c r="E57" s="52"/>
      <c r="F57" s="58"/>
      <c r="G57" s="52"/>
      <c r="H57" s="58"/>
      <c r="I57" s="54">
        <f t="shared" ref="I57" si="14">IF(H$15=$A57,1,0)</f>
        <v>0</v>
      </c>
      <c r="K57" s="9"/>
    </row>
    <row r="58" spans="1:11" ht="16.5" customHeight="1" x14ac:dyDescent="0.25">
      <c r="A58" s="71" t="s">
        <v>38</v>
      </c>
      <c r="B58" s="76"/>
      <c r="C58" s="77"/>
      <c r="D58" s="81"/>
      <c r="E58" s="82"/>
      <c r="F58" s="80"/>
      <c r="G58" s="77"/>
      <c r="H58" s="80"/>
      <c r="I58" s="76"/>
      <c r="K58" s="11"/>
    </row>
    <row r="59" spans="1:11" ht="16.5" customHeight="1" x14ac:dyDescent="0.25">
      <c r="A59" s="44" t="s">
        <v>58</v>
      </c>
      <c r="B59" s="51">
        <f>IF($B$6="ламель125",VLOOKUP(B$14,Данные1!$A$135:$V$138,2,FALSE),0)</f>
        <v>0</v>
      </c>
      <c r="C59" s="59">
        <f>IF($B$6="ламель125",VLOOKUP(B$14,Данные1!$A$135:$V$138,3,FALSE),0)</f>
        <v>0</v>
      </c>
      <c r="D59" s="51">
        <f>IF($B$6="ламель125",VLOOKUP(D$14,Данные1!$A$135:$V$138,2,FALSE),0)</f>
        <v>0</v>
      </c>
      <c r="E59" s="59">
        <f>IF($B$6="ламель125",VLOOKUP(D$14,Данные1!$A$135:$V$138,3,FALSE),0)</f>
        <v>0</v>
      </c>
      <c r="F59" s="51">
        <f>IF($B$6="ламель125",VLOOKUP(F$14,Данные1!$A$135:$V$138,2,FALSE),0)</f>
        <v>0</v>
      </c>
      <c r="G59" s="59">
        <f>IF($B$6="ламель125",VLOOKUP(F$14,Данные1!$A$135:$V$138,3,FALSE),0)</f>
        <v>0</v>
      </c>
      <c r="H59" s="51">
        <f>IF($B$6="ламель125",VLOOKUP(H$14,Данные1!$A$135:$V$138,2,FALSE),0)</f>
        <v>0</v>
      </c>
      <c r="I59" s="51">
        <f>IF($B$6="ламель125",VLOOKUP(H$14,Данные1!$A$135:$V$138,3,FALSE),0)</f>
        <v>0</v>
      </c>
      <c r="K59" s="11"/>
    </row>
    <row r="60" spans="1:11" ht="16.5" customHeight="1" x14ac:dyDescent="0.25">
      <c r="A60" s="44" t="s">
        <v>59</v>
      </c>
      <c r="B60" s="51">
        <f t="shared" ref="B60" si="15">B59</f>
        <v>0</v>
      </c>
      <c r="C60" s="59">
        <f>C59</f>
        <v>0</v>
      </c>
      <c r="D60" s="51">
        <f t="shared" ref="D60:I60" si="16">D59</f>
        <v>0</v>
      </c>
      <c r="E60" s="59">
        <f t="shared" si="16"/>
        <v>0</v>
      </c>
      <c r="F60" s="51">
        <f t="shared" si="16"/>
        <v>0</v>
      </c>
      <c r="G60" s="59">
        <f t="shared" si="16"/>
        <v>0</v>
      </c>
      <c r="H60" s="51">
        <f t="shared" si="16"/>
        <v>0</v>
      </c>
      <c r="I60" s="51">
        <f t="shared" si="16"/>
        <v>0</v>
      </c>
      <c r="K60" s="11"/>
    </row>
    <row r="61" spans="1:11" ht="16.5" customHeight="1" x14ac:dyDescent="0.25">
      <c r="A61" s="44" t="s">
        <v>186</v>
      </c>
      <c r="B61" s="51">
        <f>IF($B$6="ламель125",VLOOKUP(B$14,Данные1!$A$135:$V$138,4,FALSE),0)</f>
        <v>0</v>
      </c>
      <c r="C61" s="59">
        <f>IF($B$6="ламель125",VLOOKUP(B$14,Данные1!$A$135:$V$138,5,FALSE),0)</f>
        <v>0</v>
      </c>
      <c r="D61" s="51">
        <f>IF($B$6="ламель125",VLOOKUP(D$14,Данные1!$A$135:$V$138,4,FALSE),0)</f>
        <v>0</v>
      </c>
      <c r="E61" s="59">
        <f>IF($B$6="ламель125",VLOOKUP(D$14,Данные1!$A$135:$V$138,5,FALSE),0)</f>
        <v>0</v>
      </c>
      <c r="F61" s="51">
        <f>IF($B$6="ламель125",VLOOKUP(F$14,Данные1!$A$135:$V$138,4,FALSE),0)</f>
        <v>0</v>
      </c>
      <c r="G61" s="59">
        <f>IF($B$6="ламель125",VLOOKUP(F$14,Данные1!$A$135:$V$138,5,FALSE),0)</f>
        <v>0</v>
      </c>
      <c r="H61" s="51">
        <f>IF($B$6="ламель125",VLOOKUP(H$14,Данные1!$A$135:$V$138,4,FALSE),0)</f>
        <v>0</v>
      </c>
      <c r="I61" s="51">
        <f>IF($B$6="ламель125",VLOOKUP(H$14,Данные1!$A$135:$V$138,5,FALSE),0)</f>
        <v>0</v>
      </c>
      <c r="K61" s="11"/>
    </row>
    <row r="62" spans="1:11" ht="16.5" customHeight="1" x14ac:dyDescent="0.25">
      <c r="A62" s="44" t="s">
        <v>187</v>
      </c>
      <c r="B62" s="51">
        <f t="shared" ref="B62" si="17">B61</f>
        <v>0</v>
      </c>
      <c r="C62" s="59">
        <f>C61</f>
        <v>0</v>
      </c>
      <c r="D62" s="51">
        <f t="shared" ref="D62:I62" si="18">D61</f>
        <v>0</v>
      </c>
      <c r="E62" s="59">
        <f t="shared" si="18"/>
        <v>0</v>
      </c>
      <c r="F62" s="51">
        <f t="shared" si="18"/>
        <v>0</v>
      </c>
      <c r="G62" s="59">
        <f t="shared" si="18"/>
        <v>0</v>
      </c>
      <c r="H62" s="51">
        <f t="shared" si="18"/>
        <v>0</v>
      </c>
      <c r="I62" s="51">
        <f t="shared" si="18"/>
        <v>0</v>
      </c>
      <c r="K62" s="11"/>
    </row>
    <row r="63" spans="1:11" ht="16.5" customHeight="1" x14ac:dyDescent="0.25">
      <c r="A63" s="44" t="s">
        <v>60</v>
      </c>
      <c r="B63" s="51" t="str">
        <f>IF($B$6="ламель150",VLOOKUP(B$14,Данные1!$A$135:$V$138,6,FALSE),0)</f>
        <v>-</v>
      </c>
      <c r="C63" s="59">
        <f>IF($B$6="ламель150",VLOOKUP(B$14,Данные1!$A$135:$V$138,7,FALSE),0)</f>
        <v>0</v>
      </c>
      <c r="D63" s="51" t="str">
        <f>IF($B$6="ламель150",VLOOKUP(D$14,Данные1!$A$135:$V$138,6,FALSE),0)</f>
        <v>-</v>
      </c>
      <c r="E63" s="59">
        <f>IF($B$6="ламель150",VLOOKUP(D$14,Данные1!$A$135:$V$138,7,FALSE),0)</f>
        <v>0</v>
      </c>
      <c r="F63" s="51" t="str">
        <f>IF($B$6="ламель150",VLOOKUP(F$14,Данные1!$A$135:$V$138,6,FALSE),0)</f>
        <v>-</v>
      </c>
      <c r="G63" s="59">
        <f>IF($B$6="ламель150",VLOOKUP(F$14,Данные1!$A$135:$V$138,7,FALSE),0)</f>
        <v>0</v>
      </c>
      <c r="H63" s="51" t="str">
        <f>IF($B$6="ламель150",VLOOKUP(H$14,Данные1!$A$135:$V$138,6,FALSE),0)</f>
        <v>-</v>
      </c>
      <c r="I63" s="51">
        <f>IF($B$6="ламель150",VLOOKUP(H$14,Данные1!$A$135:$V$138,7,FALSE),0)</f>
        <v>0</v>
      </c>
      <c r="K63" s="11"/>
    </row>
    <row r="64" spans="1:11" ht="16.5" customHeight="1" x14ac:dyDescent="0.25">
      <c r="A64" s="44" t="s">
        <v>61</v>
      </c>
      <c r="B64" s="51" t="str">
        <f t="shared" ref="B64:C64" si="19">B63</f>
        <v>-</v>
      </c>
      <c r="C64" s="59">
        <f t="shared" si="19"/>
        <v>0</v>
      </c>
      <c r="D64" s="51" t="str">
        <f t="shared" ref="D64:I64" si="20">D63</f>
        <v>-</v>
      </c>
      <c r="E64" s="59">
        <f t="shared" si="20"/>
        <v>0</v>
      </c>
      <c r="F64" s="51" t="str">
        <f t="shared" si="20"/>
        <v>-</v>
      </c>
      <c r="G64" s="59">
        <f t="shared" si="20"/>
        <v>0</v>
      </c>
      <c r="H64" s="51" t="str">
        <f t="shared" si="20"/>
        <v>-</v>
      </c>
      <c r="I64" s="51">
        <f t="shared" si="20"/>
        <v>0</v>
      </c>
      <c r="K64" s="11"/>
    </row>
    <row r="65" spans="1:11" ht="16.5" customHeight="1" x14ac:dyDescent="0.25">
      <c r="A65" s="44" t="s">
        <v>199</v>
      </c>
      <c r="B65" s="51" t="str">
        <f>IF($B$6="ламель150",VLOOKUP(B$14,Данные1!$A$135:$V$138,8,FALSE),0)</f>
        <v>-</v>
      </c>
      <c r="C65" s="59">
        <f>IF($B$6="ламель150",VLOOKUP(B$14,Данные1!$A$135:$V$138,9,FALSE),0)</f>
        <v>0</v>
      </c>
      <c r="D65" s="51" t="str">
        <f>IF($B$6="ламель150",VLOOKUP(D$14,Данные1!$A$135:$V$138,8,FALSE),0)</f>
        <v>-</v>
      </c>
      <c r="E65" s="59">
        <f>IF($B$6="ламель150",VLOOKUP(D$14,Данные1!$A$135:$V$138,9,FALSE),0)</f>
        <v>0</v>
      </c>
      <c r="F65" s="51" t="str">
        <f>IF($B$6="ламель150",VLOOKUP(F$14,Данные1!$A$135:$V$138,8,FALSE),0)</f>
        <v>-</v>
      </c>
      <c r="G65" s="59">
        <f>IF($B$6="ламель150",VLOOKUP(F$14,Данные1!$A$135:$V$138,9,FALSE),0)</f>
        <v>0</v>
      </c>
      <c r="H65" s="51" t="str">
        <f>IF($B$6="ламель150",VLOOKUP(H$14,Данные1!$A$135:$V$138,8,FALSE),0)</f>
        <v>-</v>
      </c>
      <c r="I65" s="51">
        <f>IF($B$6="ламель150",VLOOKUP(H$14,Данные1!$A$135:$V$138,9,FALSE),0)</f>
        <v>0</v>
      </c>
      <c r="K65" s="11"/>
    </row>
    <row r="66" spans="1:11" ht="16.5" customHeight="1" x14ac:dyDescent="0.25">
      <c r="A66" s="44" t="s">
        <v>200</v>
      </c>
      <c r="B66" s="51" t="str">
        <f t="shared" ref="B66:C66" si="21">B65</f>
        <v>-</v>
      </c>
      <c r="C66" s="59">
        <f t="shared" si="21"/>
        <v>0</v>
      </c>
      <c r="D66" s="51" t="str">
        <f t="shared" ref="D66:I66" si="22">D65</f>
        <v>-</v>
      </c>
      <c r="E66" s="59">
        <f t="shared" si="22"/>
        <v>0</v>
      </c>
      <c r="F66" s="51" t="str">
        <f t="shared" si="22"/>
        <v>-</v>
      </c>
      <c r="G66" s="59">
        <f t="shared" si="22"/>
        <v>0</v>
      </c>
      <c r="H66" s="51" t="str">
        <f t="shared" si="22"/>
        <v>-</v>
      </c>
      <c r="I66" s="51">
        <f t="shared" si="22"/>
        <v>0</v>
      </c>
      <c r="K66" s="11"/>
    </row>
    <row r="67" spans="1:11" ht="16.5" customHeight="1" x14ac:dyDescent="0.25">
      <c r="A67" s="44" t="s">
        <v>62</v>
      </c>
      <c r="B67" s="51">
        <f>IF(AND(IF($B$6="ламель125",VLOOKUP(B$14,Данные1!$A$135:$V$138,12,FALSE),0)&gt;=0.5, IF($B$6="ламель125",VLOOKUP(B$14,Данные1!$A$135:$V$138,12,FALSE),0)&lt;=2), 2, IF(AND(IF($B$6="ламель125",VLOOKUP(B$14,Данные1!$A$135:$V$138,12,FALSE),0)&gt;2, IF($B$6="ламель125",VLOOKUP(B$14,Данные1!$A$135:$V$138,12,FALSE),0)&lt;=2.5), 2.5, IF(AND(IF($B$6="ламель125",VLOOKUP(B$14,Данные1!$A$135:$V$138,12,FALSE),0)&gt;2.5, IF($B$6="ламель125",VLOOKUP(B$14,Данные1!$A$135:$V$138,12,FALSE),0)&lt;=3), 3,0)))</f>
        <v>0</v>
      </c>
      <c r="C67" s="59">
        <f>IF(AND($B$6="ламель125",NOT(B$14="нет")),1,0)</f>
        <v>0</v>
      </c>
      <c r="D67" s="51">
        <f>IF(AND(IF($B$6="ламель125",VLOOKUP(D$14,Данные1!$A$135:$V$138,12,FALSE),0)&gt;=0.5, IF($B$6="ламель125",VLOOKUP(D$14,Данные1!$A$135:$V$138,12,FALSE),0)&lt;=2), 2, IF(AND(IF($B$6="ламель125",VLOOKUP(D$14,Данные1!$A$135:$V$138,12,FALSE),0)&gt;2, IF($B$6="ламель125",VLOOKUP(D$14,Данные1!$A$135:$V$138,12,FALSE),0)&lt;=2.5), 2.5, IF(AND(IF($B$6="ламель125",VLOOKUP(D$14,Данные1!$A$135:$V$138,12,FALSE),0)&gt;2.5, IF($B$6="ламель125",VLOOKUP(D$14,Данные1!$A$135:$V$138,12,FALSE),0)&lt;=3), 3,0)))</f>
        <v>0</v>
      </c>
      <c r="E67" s="59">
        <f>IF(AND($B$6="ламель125",NOT(D$14="нет")),1,0)</f>
        <v>0</v>
      </c>
      <c r="F67" s="51">
        <f>IF(AND(IF($B$6="ламель125",VLOOKUP(F$14,Данные1!$A$135:$V$138,12,FALSE),0)&gt;=0.5, IF($B$6="ламель125",VLOOKUP(F$14,Данные1!$A$135:$V$138,12,FALSE),0)&lt;=2), 2, IF(AND(IF($B$6="ламель125",VLOOKUP(F$14,Данные1!$A$135:$V$138,12,FALSE),0)&gt;2, IF($B$6="ламель125",VLOOKUP(F$14,Данные1!$A$135:$V$138,12,FALSE),0)&lt;=2.5), 2.5, IF(AND(IF($B$6="ламель125",VLOOKUP(F$14,Данные1!$A$135:$V$138,12,FALSE),0)&gt;2.5, IF($B$6="ламель125",VLOOKUP(F$14,Данные1!$A$135:$V$138,12,FALSE),0)&lt;=3), 3,0)))</f>
        <v>0</v>
      </c>
      <c r="G67" s="59">
        <f>IF(AND($B$6="ламель125",NOT(F$14="нет")),1,0)</f>
        <v>0</v>
      </c>
      <c r="H67" s="51">
        <f>IF(AND(IF($B$6="ламель125",VLOOKUP(H$14,Данные1!$A$135:$V$138,12,FALSE),0)&gt;=0.5, IF($B$6="ламель125",VLOOKUP(H$14,Данные1!$A$135:$V$138,12,FALSE),0)&lt;=2), 2, IF(AND(IF($B$6="ламель125",VLOOKUP(H$14,Данные1!$A$135:$V$138,12,FALSE),0)&gt;2, IF($B$6="ламель125",VLOOKUP(H$14,Данные1!$A$135:$V$138,12,FALSE),0)&lt;=2.5), 2.5, IF(AND(IF($B$6="ламель125",VLOOKUP(H$14,Данные1!$A$135:$V$138,12,FALSE),0)&gt;2.5, IF($B$6="ламель125",VLOOKUP(H$14,Данные1!$A$135:$V$138,12,FALSE),0)&lt;=3), 3,0)))</f>
        <v>0</v>
      </c>
      <c r="I67" s="51">
        <f>IF(AND($B$6="ламель125",NOT(H$14="нет")),1,0)</f>
        <v>0</v>
      </c>
      <c r="K67" s="11"/>
    </row>
    <row r="68" spans="1:11" ht="16.5" customHeight="1" x14ac:dyDescent="0.25">
      <c r="A68" s="44" t="s">
        <v>63</v>
      </c>
      <c r="B68" s="51">
        <f>IF(AND(IF($B$6="ламель150",VLOOKUP(B$14,Данные1!$A$135:$V$138,13,FALSE),0)&gt;=0.5, IF($B$6="ламель150",VLOOKUP(B$14,Данные1!$A$135:$V$138,13,FALSE),0)&lt;=2), 2, IF(AND(IF($B$6="ламель150",VLOOKUP(B$14,Данные1!$A$135:$V$138,13,FALSE),0)&gt;2, IF($B$6="ламель150",VLOOKUP(B$14,Данные1!$A$135:$V$138,13,FALSE),0)&lt;=2.5), 2.5, IF(AND(IF($B$6="ламель150",VLOOKUP(B$14,Данные1!$A$135:$V$138,13,FALSE),0)&gt;2.5, IF($B$6="ламель150",VLOOKUP(B$14,Данные1!$A$135:$V$138,13,FALSE),0)&lt;=3), 3,0)))</f>
        <v>0</v>
      </c>
      <c r="C68" s="59">
        <f>IF(AND($B$6="ламель150",NOT(B$14="нет")),1,0)</f>
        <v>0</v>
      </c>
      <c r="D68" s="51">
        <f>IF(AND(IF($B$6="ламель150",VLOOKUP(D$14,Данные1!$A$135:$V$138,13,FALSE),0)&gt;=0.5, IF($B$6="ламель150",VLOOKUP(D$14,Данные1!$A$135:$V$138,13,FALSE),0)&lt;=2), 2, IF(AND(IF($B$6="ламель150",VLOOKUP(D$14,Данные1!$A$135:$V$138,13,FALSE),0)&gt;2, IF($B$6="ламель150",VLOOKUP(D$14,Данные1!$A$135:$V$138,13,FALSE),0)&lt;=2.5), 2.5, IF(AND(IF($B$6="ламель150",VLOOKUP(D$14,Данные1!$A$135:$V$138,13,FALSE),0)&gt;2.5, IF($B$6="ламель150",VLOOKUP(D$14,Данные1!$A$135:$V$138,13,FALSE),0)&lt;=3), 3,0)))</f>
        <v>0</v>
      </c>
      <c r="E68" s="59">
        <f>IF(AND($B$6="ламель150",NOT(D$14="нет")),1,0)</f>
        <v>0</v>
      </c>
      <c r="F68" s="51">
        <f>IF(AND(IF($B$6="ламель150",VLOOKUP(F$14,Данные1!$A$135:$V$138,13,FALSE),0)&gt;=0.5, IF($B$6="ламель150",VLOOKUP(F$14,Данные1!$A$135:$V$138,13,FALSE),0)&lt;=2), 2, IF(AND(IF($B$6="ламель150",VLOOKUP(F$14,Данные1!$A$135:$V$138,13,FALSE),0)&gt;2, IF($B$6="ламель150",VLOOKUP(F$14,Данные1!$A$135:$V$138,13,FALSE),0)&lt;=2.5), 2.5, IF(AND(IF($B$6="ламель150",VLOOKUP(F$14,Данные1!$A$135:$V$138,13,FALSE),0)&gt;2.5, IF($B$6="ламель150",VLOOKUP(F$14,Данные1!$A$135:$V$138,13,FALSE),0)&lt;=3), 3,0)))</f>
        <v>0</v>
      </c>
      <c r="G68" s="59">
        <f>IF(AND($B$6="ламель150",NOT(F$14="нет")),1,0)</f>
        <v>0</v>
      </c>
      <c r="H68" s="51">
        <f>IF(AND(IF($B$6="ламель150",VLOOKUP(H$14,Данные1!$A$135:$V$138,13,FALSE),0)&gt;=0.5, IF($B$6="ламель150",VLOOKUP(H$14,Данные1!$A$135:$V$138,13,FALSE),0)&lt;=2), 2, IF(AND(IF($B$6="ламель150",VLOOKUP(H$14,Данные1!$A$135:$V$138,13,FALSE),0)&gt;2, IF($B$6="ламель150",VLOOKUP(H$14,Данные1!$A$135:$V$138,13,FALSE),0)&lt;=2.5), 2.5, IF(AND(IF($B$6="ламель150",VLOOKUP(H$14,Данные1!$A$135:$V$138,13,FALSE),0)&gt;2.5, IF($B$6="ламель150",VLOOKUP(H$14,Данные1!$A$135:$V$138,13,FALSE),0)&lt;=3), 3,0)))</f>
        <v>0</v>
      </c>
      <c r="I68" s="51">
        <f>IF(AND($B$6="ламель150",NOT(H$14="нет")),1,0)</f>
        <v>0</v>
      </c>
      <c r="K68" s="11"/>
    </row>
    <row r="69" spans="1:11" ht="16.5" customHeight="1" x14ac:dyDescent="0.25">
      <c r="A69" s="44" t="s">
        <v>76</v>
      </c>
      <c r="B69" s="51">
        <f>IF(AND(IF($B$6="ламель125",VLOOKUP(B$14,Данные1!$A$135:$V$138,10,FALSE),VLOOKUP(B$14,Данные1!$A$135:$V$138,11,FALSE))&gt;=0.1, IF($B$6="ламель125",VLOOKUP(B$14,Данные1!$A$135:$V$138,10,FALSE),VLOOKUP(B$14,Данные1!$A$135:$V$138,11,FALSE))&lt;=1.8), 1.8, IF(AND(IF($B$6="ламель125",VLOOKUP(B$14,Данные1!$A$135:$V$138,10,FALSE),VLOOKUP(B$14,Данные1!$A$135:$V$138,11,FALSE))&gt;1.8, IF($B$6="ламель125",VLOOKUP(B$14,Данные1!$A$135:$V$138,10,FALSE),VLOOKUP(B$14,Данные1!$A$135:$V$138,11,FALSE))&lt;=2), 2, IF(AND(IF($B$6="ламель125",VLOOKUP(B$14,Данные1!$A$135:$V$138,10,FALSE),VLOOKUP(B$14,Данные1!$A$135:$V$138,11,FALSE))&gt;2, IF($B$6="ламель125",VLOOKUP(B$14,Данные1!$A$135:$V$138,10,FALSE),VLOOKUP(B$14,Данные1!$A$135:$V$138,11,FALSE))&lt;=2.5), 2.5, IF(AND(IF($B$6="ламель125",VLOOKUP(B$14,Данные1!$A$135:$V$138,10,FALSE),VLOOKUP(B$14,Данные1!$A$135:$V$138,11,FALSE))&gt;2.5, IF($B$6="ламель125",VLOOKUP(B$14,Данные1!$A$135:$V$138,10,FALSE),VLOOKUP(B$14,Данные1!$A$135:$V$138,11,FALSE))&lt;=3), 3, 0))))</f>
        <v>0</v>
      </c>
      <c r="C69" s="59">
        <f>IF(NOT(B$14="нет"),2,0)</f>
        <v>0</v>
      </c>
      <c r="D69" s="51">
        <f>IF(AND(IF($B$6="ламель125",VLOOKUP(D$14,Данные1!$A$135:$V$138,10,FALSE),VLOOKUP(D$14,Данные1!$A$135:$V$138,11,FALSE))&gt;=0.1, IF($B$6="ламель125",VLOOKUP(D$14,Данные1!$A$135:$V$138,10,FALSE),VLOOKUP(D$14,Данные1!$A$135:$V$138,11,FALSE))&lt;=1.8), 1.8, IF(AND(IF($B$6="ламель125",VLOOKUP(D$14,Данные1!$A$135:$V$138,10,FALSE),VLOOKUP(D$14,Данные1!$A$135:$V$138,11,FALSE))&gt;1.8, IF($B$6="ламель125",VLOOKUP(D$14,Данные1!$A$135:$V$138,10,FALSE),VLOOKUP(D$14,Данные1!$A$135:$V$138,11,FALSE))&lt;=2), 2, IF(AND(IF($B$6="ламель125",VLOOKUP(D$14,Данные1!$A$135:$V$138,10,FALSE),VLOOKUP(D$14,Данные1!$A$135:$V$138,11,FALSE))&gt;2, IF($B$6="ламель125",VLOOKUP(D$14,Данные1!$A$135:$V$138,10,FALSE),VLOOKUP(D$14,Данные1!$A$135:$V$138,11,FALSE))&lt;=2.5), 2.5, IF(AND(IF($B$6="ламель125",VLOOKUP(D$14,Данные1!$A$135:$V$138,10,FALSE),VLOOKUP(D$14,Данные1!$A$135:$V$138,11,FALSE))&gt;2.5, IF($B$6="ламель125",VLOOKUP(D$14,Данные1!$A$135:$V$138,10,FALSE),VLOOKUP(D$14,Данные1!$A$135:$V$138,11,FALSE))&lt;=3), 3, 0))))</f>
        <v>0</v>
      </c>
      <c r="E69" s="59">
        <f>IF(NOT(D$14="нет"),2,0)</f>
        <v>0</v>
      </c>
      <c r="F69" s="51">
        <f>IF(AND(IF($B$6="ламель125",VLOOKUP(F$14,Данные1!$A$135:$V$138,10,FALSE),VLOOKUP(F$14,Данные1!$A$135:$V$138,11,FALSE))&gt;=0.1, IF($B$6="ламель125",VLOOKUP(F$14,Данные1!$A$135:$V$138,10,FALSE),VLOOKUP(F$14,Данные1!$A$135:$V$138,11,FALSE))&lt;=1.8), 1.8, IF(AND(IF($B$6="ламель125",VLOOKUP(F$14,Данные1!$A$135:$V$138,10,FALSE),VLOOKUP(F$14,Данные1!$A$135:$V$138,11,FALSE))&gt;1.8, IF($B$6="ламель125",VLOOKUP(F$14,Данные1!$A$135:$V$138,10,FALSE),VLOOKUP(F$14,Данные1!$A$135:$V$138,11,FALSE))&lt;=2), 2, IF(AND(IF($B$6="ламель125",VLOOKUP(F$14,Данные1!$A$135:$V$138,10,FALSE),VLOOKUP(F$14,Данные1!$A$135:$V$138,11,FALSE))&gt;2, IF($B$6="ламель125",VLOOKUP(F$14,Данные1!$A$135:$V$138,10,FALSE),VLOOKUP(F$14,Данные1!$A$135:$V$138,11,FALSE))&lt;=2.5), 2.5, IF(AND(IF($B$6="ламель125",VLOOKUP(F$14,Данные1!$A$135:$V$138,10,FALSE),VLOOKUP(F$14,Данные1!$A$135:$V$138,11,FALSE))&gt;2.5, IF($B$6="ламель125",VLOOKUP(F$14,Данные1!$A$135:$V$138,10,FALSE),VLOOKUP(F$14,Данные1!$A$135:$V$138,11,FALSE))&lt;=3), 3, 0))))</f>
        <v>0</v>
      </c>
      <c r="G69" s="59">
        <f>IF(NOT(F$14="нет"),2,0)</f>
        <v>0</v>
      </c>
      <c r="H69" s="51">
        <f>IF(AND(IF($B$6="ламель125",VLOOKUP(H$14,Данные1!$A$135:$V$138,10,FALSE),VLOOKUP(H$14,Данные1!$A$135:$V$138,11,FALSE))&gt;=0.1, IF($B$6="ламель125",VLOOKUP(H$14,Данные1!$A$135:$V$138,10,FALSE),VLOOKUP(H$14,Данные1!$A$135:$V$138,11,FALSE))&lt;=1.8), 1.8, IF(AND(IF($B$6="ламель125",VLOOKUP(H$14,Данные1!$A$135:$V$138,10,FALSE),VLOOKUP(H$14,Данные1!$A$135:$V$138,11,FALSE))&gt;1.8, IF($B$6="ламель125",VLOOKUP(H$14,Данные1!$A$135:$V$138,10,FALSE),VLOOKUP(H$14,Данные1!$A$135:$V$138,11,FALSE))&lt;=2), 2, IF(AND(IF($B$6="ламель125",VLOOKUP(H$14,Данные1!$A$135:$V$138,10,FALSE),VLOOKUP(H$14,Данные1!$A$135:$V$138,11,FALSE))&gt;2, IF($B$6="ламель125",VLOOKUP(H$14,Данные1!$A$135:$V$138,10,FALSE),VLOOKUP(H$14,Данные1!$A$135:$V$138,11,FALSE))&lt;=2.5), 2.5, IF(AND(IF($B$6="ламель125",VLOOKUP(H$14,Данные1!$A$135:$V$138,10,FALSE),VLOOKUP(H$14,Данные1!$A$135:$V$138,11,FALSE))&gt;2.5, IF($B$6="ламель125",VLOOKUP(H$14,Данные1!$A$135:$V$138,10,FALSE),VLOOKUP(H$14,Данные1!$A$135:$V$138,11,FALSE))&lt;=3), 3, 0))))</f>
        <v>0</v>
      </c>
      <c r="I69" s="51">
        <f>IF(NOT(H$14="нет"),2,0)</f>
        <v>0</v>
      </c>
      <c r="K69" s="11"/>
    </row>
    <row r="70" spans="1:11" ht="16.5" customHeight="1" x14ac:dyDescent="0.25">
      <c r="A70" s="44" t="s">
        <v>85</v>
      </c>
      <c r="B70" s="51" t="s">
        <v>10</v>
      </c>
      <c r="C70" s="59">
        <f>IF($B$6="ламель125",VLOOKUP(B$14,Данные1!$A$135:$V$138,17,FALSE),0)</f>
        <v>0</v>
      </c>
      <c r="D70" s="51" t="s">
        <v>10</v>
      </c>
      <c r="E70" s="59">
        <f>IF($B$6="ламель125",VLOOKUP(D$14,Данные1!$A$135:$V$138,17,FALSE),0)</f>
        <v>0</v>
      </c>
      <c r="F70" s="51" t="s">
        <v>10</v>
      </c>
      <c r="G70" s="59">
        <f>IF($B$6="ламель125",VLOOKUP(F$14,Данные1!$A$135:$V$138,17,FALSE),0)</f>
        <v>0</v>
      </c>
      <c r="H70" s="51" t="s">
        <v>10</v>
      </c>
      <c r="I70" s="51">
        <f>IF($B$6="ламель125",VLOOKUP(H$14,Данные1!$A$135:$V$138,17,FALSE),0)</f>
        <v>0</v>
      </c>
      <c r="K70" s="11"/>
    </row>
    <row r="71" spans="1:11" ht="16.5" customHeight="1" x14ac:dyDescent="0.25">
      <c r="A71" s="44" t="s">
        <v>86</v>
      </c>
      <c r="B71" s="51" t="s">
        <v>10</v>
      </c>
      <c r="C71" s="59">
        <f>IF($B$6="ламель125",VLOOKUP(B$14,Данные1!$A$135:$V$138,18,FALSE),0)</f>
        <v>0</v>
      </c>
      <c r="D71" s="51" t="s">
        <v>10</v>
      </c>
      <c r="E71" s="59">
        <f>IF($B$6="ламель125",VLOOKUP(D$14,Данные1!$A$135:$V$138,18,FALSE),0)</f>
        <v>0</v>
      </c>
      <c r="F71" s="51" t="s">
        <v>10</v>
      </c>
      <c r="G71" s="59">
        <f>IF($B$6="ламель125",VLOOKUP(F$14,Данные1!$A$135:$V$138,18,FALSE),0)</f>
        <v>0</v>
      </c>
      <c r="H71" s="51" t="s">
        <v>10</v>
      </c>
      <c r="I71" s="51">
        <f>IF($B$6="ламель125",VLOOKUP(H$14,Данные1!$A$135:$V$138,18,FALSE),0)</f>
        <v>0</v>
      </c>
      <c r="K71" s="11"/>
    </row>
    <row r="72" spans="1:11" ht="16.5" customHeight="1" x14ac:dyDescent="0.25">
      <c r="A72" s="44" t="s">
        <v>87</v>
      </c>
      <c r="B72" s="51" t="s">
        <v>10</v>
      </c>
      <c r="C72" s="59">
        <f>IF($B$6="ламель125",VLOOKUP(B$14,Данные1!$A$135:$V$138,19,FALSE),0)</f>
        <v>0</v>
      </c>
      <c r="D72" s="51" t="s">
        <v>10</v>
      </c>
      <c r="E72" s="59">
        <f>IF($B$6="ламель125",VLOOKUP(D$14,Данные1!$A$135:$V$138,19,FALSE),0)</f>
        <v>0</v>
      </c>
      <c r="F72" s="51" t="s">
        <v>10</v>
      </c>
      <c r="G72" s="59">
        <f>IF($B$6="ламель125",VLOOKUP(F$14,Данные1!$A$135:$V$138,19,FALSE),0)</f>
        <v>0</v>
      </c>
      <c r="H72" s="51" t="s">
        <v>10</v>
      </c>
      <c r="I72" s="51">
        <f>IF($B$6="ламель125",VLOOKUP(H$14,Данные1!$A$135:$V$138,19,FALSE),0)</f>
        <v>0</v>
      </c>
      <c r="K72" s="11"/>
    </row>
    <row r="73" spans="1:11" ht="16.5" customHeight="1" x14ac:dyDescent="0.25">
      <c r="A73" s="44" t="s">
        <v>88</v>
      </c>
      <c r="B73" s="51" t="s">
        <v>10</v>
      </c>
      <c r="C73" s="59">
        <f>IF($B$6="ламель150",VLOOKUP(B$14,Данные1!$A$135:$V$138,20,FALSE),0)</f>
        <v>0</v>
      </c>
      <c r="D73" s="51" t="s">
        <v>10</v>
      </c>
      <c r="E73" s="59">
        <f>IF($B$6="ламель150",VLOOKUP(D$14,Данные1!$A$135:$V$138,20,FALSE),0)</f>
        <v>0</v>
      </c>
      <c r="F73" s="51" t="s">
        <v>10</v>
      </c>
      <c r="G73" s="59">
        <f>IF($B$6="ламель150",VLOOKUP(F$14,Данные1!$A$135:$V$138,20,FALSE),0)</f>
        <v>0</v>
      </c>
      <c r="H73" s="51" t="s">
        <v>10</v>
      </c>
      <c r="I73" s="51">
        <f>IF($B$6="ламель150",VLOOKUP(H$14,Данные1!$A$135:$V$138,20,FALSE),0)</f>
        <v>0</v>
      </c>
      <c r="K73" s="11"/>
    </row>
    <row r="74" spans="1:11" ht="16.5" customHeight="1" x14ac:dyDescent="0.25">
      <c r="A74" s="44" t="s">
        <v>89</v>
      </c>
      <c r="B74" s="51" t="s">
        <v>10</v>
      </c>
      <c r="C74" s="59">
        <f>IF($B$6="ламель150",VLOOKUP(B$14,Данные1!$A$135:$V$138,21,FALSE),0)</f>
        <v>0</v>
      </c>
      <c r="D74" s="51" t="s">
        <v>10</v>
      </c>
      <c r="E74" s="59">
        <f>IF($B$6="ламель150",VLOOKUP(D$14,Данные1!$A$135:$V$138,21,FALSE),0)</f>
        <v>0</v>
      </c>
      <c r="F74" s="51" t="s">
        <v>10</v>
      </c>
      <c r="G74" s="59">
        <f>IF($B$6="ламель150",VLOOKUP(F$14,Данные1!$A$135:$V$138,21,FALSE),0)</f>
        <v>0</v>
      </c>
      <c r="H74" s="51" t="s">
        <v>10</v>
      </c>
      <c r="I74" s="51">
        <f>IF($B$6="ламель150",VLOOKUP(H$14,Данные1!$A$135:$V$138,21,FALSE),0)</f>
        <v>0</v>
      </c>
      <c r="K74" s="11"/>
    </row>
    <row r="75" spans="1:11" ht="16.5" customHeight="1" x14ac:dyDescent="0.25">
      <c r="A75" s="44" t="s">
        <v>90</v>
      </c>
      <c r="B75" s="51" t="s">
        <v>10</v>
      </c>
      <c r="C75" s="59">
        <f>IF($B$6="ламель150",VLOOKUP(B$14,Данные1!$A$135:$V$138,22,FALSE),0)</f>
        <v>0</v>
      </c>
      <c r="D75" s="51" t="s">
        <v>10</v>
      </c>
      <c r="E75" s="59">
        <f>IF($B$6="ламель150",VLOOKUP(D$14,Данные1!$A$135:$V$138,22,FALSE),0)</f>
        <v>0</v>
      </c>
      <c r="F75" s="51" t="s">
        <v>10</v>
      </c>
      <c r="G75" s="59">
        <f>IF($B$6="ламель150",VLOOKUP(F$14,Данные1!$A$135:$V$138,22,FALSE),0)</f>
        <v>0</v>
      </c>
      <c r="H75" s="51" t="s">
        <v>10</v>
      </c>
      <c r="I75" s="51">
        <f>IF($B$6="ламель150",VLOOKUP(H$14,Данные1!$A$135:$V$138,22,FALSE),0)</f>
        <v>0</v>
      </c>
      <c r="K75" s="11"/>
    </row>
    <row r="76" spans="1:11" ht="16.5" customHeight="1" x14ac:dyDescent="0.25">
      <c r="A76" s="44" t="s">
        <v>147</v>
      </c>
      <c r="B76" s="55" t="str">
        <f>IF(C76=0,"-","4,0х10")</f>
        <v>-</v>
      </c>
      <c r="C76" s="59">
        <f>IF($B$6="ламель125",VLOOKUP(B$14,Данные1!$A$135:$V$138,14,FALSE),VLOOKUP(B$14,Данные1!$A$135:$V$138,15,FALSE))</f>
        <v>0</v>
      </c>
      <c r="D76" s="55" t="str">
        <f>IF(E76=0,"-","4,0х10")</f>
        <v>-</v>
      </c>
      <c r="E76" s="59">
        <f>IF($B$6="ламель125",VLOOKUP(D$14,Данные1!$A$135:$V$138,14,FALSE),VLOOKUP(D$14,Данные1!$A$135:$V$138,15,FALSE))</f>
        <v>0</v>
      </c>
      <c r="F76" s="55" t="str">
        <f>IF(G76=0,"-","4,0х10")</f>
        <v>-</v>
      </c>
      <c r="G76" s="59">
        <f>IF($B$6="ламель125",VLOOKUP(F$14,Данные1!$A$135:$V$138,14,FALSE),VLOOKUP(F$14,Данные1!$A$135:$V$138,15,FALSE))</f>
        <v>0</v>
      </c>
      <c r="H76" s="55" t="str">
        <f>IF(I76=0,"-","4,0х10")</f>
        <v>-</v>
      </c>
      <c r="I76" s="51">
        <f>IF($B$6="ламель125",VLOOKUP(H$14,Данные1!$A$135:$V$138,14,FALSE),VLOOKUP(H$14,Данные1!$A$135:$V$138,15,FALSE))</f>
        <v>0</v>
      </c>
      <c r="K76" s="11"/>
    </row>
    <row r="77" spans="1:11" ht="16.5" customHeight="1" x14ac:dyDescent="0.25">
      <c r="A77" s="38" t="s">
        <v>66</v>
      </c>
      <c r="B77" s="55" t="str">
        <f>IF(C77=0,"-","4,2x16")</f>
        <v>-</v>
      </c>
      <c r="C77" s="59">
        <f>VLOOKUP(B$14,Данные1!$A$135:$V$138,16,FALSE)</f>
        <v>0</v>
      </c>
      <c r="D77" s="55" t="str">
        <f>IF(E77=0,"-","4,2x16")</f>
        <v>-</v>
      </c>
      <c r="E77" s="59">
        <f>VLOOKUP(D$14,Данные1!$A$135:$V$138,16,FALSE)</f>
        <v>0</v>
      </c>
      <c r="F77" s="55" t="str">
        <f>IF(G77=0,"-","4,2x16")</f>
        <v>-</v>
      </c>
      <c r="G77" s="59">
        <f>VLOOKUP(F$14,Данные1!$A$135:$V$138,16,FALSE)</f>
        <v>0</v>
      </c>
      <c r="H77" s="55" t="str">
        <f>IF(I77=0,"-","4,2x16")</f>
        <v>-</v>
      </c>
      <c r="I77" s="51">
        <f>VLOOKUP(H$14,Данные1!$A$135:$V$138,16,FALSE)</f>
        <v>0</v>
      </c>
      <c r="K77" s="11"/>
    </row>
    <row r="78" spans="1:11" ht="16.5" customHeight="1" x14ac:dyDescent="0.25">
      <c r="A78" s="71" t="s">
        <v>48</v>
      </c>
      <c r="B78" s="76"/>
      <c r="C78" s="77"/>
      <c r="D78" s="80"/>
      <c r="E78" s="77"/>
      <c r="F78" s="80"/>
      <c r="G78" s="77"/>
      <c r="H78" s="80"/>
      <c r="I78" s="76"/>
      <c r="K78" s="11"/>
    </row>
    <row r="79" spans="1:11" ht="16.5" customHeight="1" x14ac:dyDescent="0.25">
      <c r="A79" s="44" t="s">
        <v>58</v>
      </c>
      <c r="B79" s="51">
        <f>IF($B$6="ламель125",VLOOKUP(B$15,Данные1!$A$143:$AL$170,2,FALSE),0)</f>
        <v>0</v>
      </c>
      <c r="C79" s="59">
        <f>IF($B$6="ламель125",VLOOKUP(B$15,Данные1!$A$143:$AL$170,3,FALSE),0)</f>
        <v>0</v>
      </c>
      <c r="D79" s="51">
        <f>IF($B$6="ламель125",VLOOKUP(D$15,Данные1!$A$143:$AL$170,2,FALSE),0)</f>
        <v>0</v>
      </c>
      <c r="E79" s="59">
        <f>IF($B$6="ламель125",VLOOKUP(D$15,Данные1!$A$143:$AL$170,3,FALSE),0)</f>
        <v>0</v>
      </c>
      <c r="F79" s="51">
        <f>IF($B$6="ламель125",VLOOKUP(F$15,Данные1!$A$143:$AL$170,2,FALSE),0)</f>
        <v>0</v>
      </c>
      <c r="G79" s="59">
        <f>IF($B$6="ламель125",VLOOKUP(F$15,Данные1!$A$143:$AL$170,3,FALSE),0)</f>
        <v>0</v>
      </c>
      <c r="H79" s="53">
        <f>IF($B$6="ламель125",VLOOKUP(H$15,Данные1!$A$143:$AL$170,2,FALSE),0)</f>
        <v>0</v>
      </c>
      <c r="I79" s="51">
        <f>IF($B$6="ламель125",VLOOKUP(H$15,Данные1!$A$143:$AL$170,3,FALSE),0)</f>
        <v>0</v>
      </c>
      <c r="K79" s="11"/>
    </row>
    <row r="80" spans="1:11" ht="16.5" customHeight="1" x14ac:dyDescent="0.25">
      <c r="A80" s="44" t="s">
        <v>59</v>
      </c>
      <c r="B80" s="51">
        <f t="shared" ref="B80:D82" si="23">B79</f>
        <v>0</v>
      </c>
      <c r="C80" s="59">
        <f>C79</f>
        <v>0</v>
      </c>
      <c r="D80" s="51">
        <f t="shared" si="23"/>
        <v>0</v>
      </c>
      <c r="E80" s="59">
        <f>E79</f>
        <v>0</v>
      </c>
      <c r="F80" s="51">
        <f t="shared" ref="F80" si="24">F79</f>
        <v>0</v>
      </c>
      <c r="G80" s="59">
        <f>G79</f>
        <v>0</v>
      </c>
      <c r="H80" s="53">
        <f t="shared" ref="H80" si="25">H79</f>
        <v>0</v>
      </c>
      <c r="I80" s="51">
        <f>I79</f>
        <v>0</v>
      </c>
      <c r="K80" s="11"/>
    </row>
    <row r="81" spans="1:11" ht="16.5" customHeight="1" x14ac:dyDescent="0.25">
      <c r="A81" s="44" t="s">
        <v>58</v>
      </c>
      <c r="B81" s="51">
        <f>IF($B$6="ламель125",VLOOKUP(B$15,Данные1!$A$143:$AL$170,31,FALSE),0)</f>
        <v>0</v>
      </c>
      <c r="C81" s="59">
        <f>IF($B$6="ламель125",VLOOKUP(B$15,Данные1!$A$143:$AL$170,32,FALSE),0)</f>
        <v>0</v>
      </c>
      <c r="D81" s="51">
        <f>IF($B$6="ламель125",VLOOKUP(D$15,Данные1!$A$143:$AL$170,31,FALSE),0)</f>
        <v>0</v>
      </c>
      <c r="E81" s="59">
        <f>IF($B$6="ламель125",VLOOKUP(D$15,Данные1!$A$143:$AL$170,32,FALSE),0)</f>
        <v>0</v>
      </c>
      <c r="F81" s="51">
        <f>IF($B$6="ламель125",VLOOKUP(F$15,Данные1!$A$143:$AL$170,31,FALSE),0)</f>
        <v>0</v>
      </c>
      <c r="G81" s="59">
        <f>IF($B$6="ламель125",VLOOKUP(F$15,Данные1!$A$143:$AL$170,32,FALSE),0)</f>
        <v>0</v>
      </c>
      <c r="H81" s="53">
        <f>IF($B$6="ламель125",VLOOKUP(H$15,Данные1!$A$143:$AL$170,31,FALSE),0)</f>
        <v>0</v>
      </c>
      <c r="I81" s="51">
        <f>IF($B$6="ламель125",VLOOKUP(H$15,Данные1!$A$143:$AL$170,32,FALSE),0)</f>
        <v>0</v>
      </c>
      <c r="K81" s="11"/>
    </row>
    <row r="82" spans="1:11" ht="16.5" customHeight="1" x14ac:dyDescent="0.25">
      <c r="A82" s="44" t="s">
        <v>59</v>
      </c>
      <c r="B82" s="51">
        <f t="shared" si="23"/>
        <v>0</v>
      </c>
      <c r="C82" s="59">
        <f>C81</f>
        <v>0</v>
      </c>
      <c r="D82" s="51">
        <f t="shared" si="23"/>
        <v>0</v>
      </c>
      <c r="E82" s="59">
        <f>E81</f>
        <v>0</v>
      </c>
      <c r="F82" s="51">
        <f t="shared" ref="F82" si="26">F81</f>
        <v>0</v>
      </c>
      <c r="G82" s="59">
        <f>G81</f>
        <v>0</v>
      </c>
      <c r="H82" s="53">
        <f t="shared" ref="H82" si="27">H81</f>
        <v>0</v>
      </c>
      <c r="I82" s="51">
        <f>I81</f>
        <v>0</v>
      </c>
      <c r="K82" s="11"/>
    </row>
    <row r="83" spans="1:11" ht="16.5" customHeight="1" x14ac:dyDescent="0.25">
      <c r="A83" s="44" t="s">
        <v>302</v>
      </c>
      <c r="B83" s="51">
        <f>IF($B$6="ламель125",VLOOKUP(B$15,Данные1!$A$143:$AL$170,4,FALSE),0)</f>
        <v>0</v>
      </c>
      <c r="C83" s="59">
        <f>IF($B$6="ламель125",VLOOKUP(B$15,Данные1!$A$143:$AL$170,5,FALSE),0)</f>
        <v>0</v>
      </c>
      <c r="D83" s="51">
        <f>IF($B$6="ламель125",VLOOKUP(D$15,Данные1!$A$143:$AL$170,4,FALSE),0)</f>
        <v>0</v>
      </c>
      <c r="E83" s="59">
        <f>IF($B$6="ламель125",VLOOKUP(D$15,Данные1!$A$143:$AL$170,5,FALSE),0)</f>
        <v>0</v>
      </c>
      <c r="F83" s="51">
        <f>IF($B$6="ламель125",VLOOKUP(F$15,Данные1!$A$143:$AL$170,4,FALSE),0)</f>
        <v>0</v>
      </c>
      <c r="G83" s="59">
        <f>IF($B$6="ламель125",VLOOKUP(F$15,Данные1!$A$143:$AL$170,5,FALSE),0)</f>
        <v>0</v>
      </c>
      <c r="H83" s="53">
        <f>IF($B$6="ламель125",VLOOKUP(H$15,Данные1!$A$143:$AL$170,4,FALSE),0)</f>
        <v>0</v>
      </c>
      <c r="I83" s="51">
        <f>IF($B$6="ламель125",VLOOKUP(H$15,Данные1!$A$143:$AL$170,5,FALSE),0)</f>
        <v>0</v>
      </c>
      <c r="K83" s="11"/>
    </row>
    <row r="84" spans="1:11" ht="16.5" customHeight="1" x14ac:dyDescent="0.25">
      <c r="A84" s="44" t="s">
        <v>303</v>
      </c>
      <c r="B84" s="51">
        <f t="shared" ref="B84:C84" si="28">B83</f>
        <v>0</v>
      </c>
      <c r="C84" s="59">
        <f t="shared" si="28"/>
        <v>0</v>
      </c>
      <c r="D84" s="51">
        <f t="shared" ref="D84:I84" si="29">D83</f>
        <v>0</v>
      </c>
      <c r="E84" s="59">
        <f t="shared" si="29"/>
        <v>0</v>
      </c>
      <c r="F84" s="51">
        <f t="shared" si="29"/>
        <v>0</v>
      </c>
      <c r="G84" s="59">
        <f t="shared" si="29"/>
        <v>0</v>
      </c>
      <c r="H84" s="53">
        <f t="shared" si="29"/>
        <v>0</v>
      </c>
      <c r="I84" s="51">
        <f t="shared" si="29"/>
        <v>0</v>
      </c>
      <c r="K84" s="11"/>
    </row>
    <row r="85" spans="1:11" ht="16.5" customHeight="1" x14ac:dyDescent="0.25">
      <c r="A85" s="44" t="s">
        <v>302</v>
      </c>
      <c r="B85" s="51">
        <f>IF($B$6="ламель125",VLOOKUP(B$15,Данные1!$A$143:$AL$170,33,FALSE),0)</f>
        <v>0</v>
      </c>
      <c r="C85" s="59">
        <f>IF($B$6="ламель125",VLOOKUP(B$15,Данные1!$A$143:$AL$170,34,FALSE),0)</f>
        <v>0</v>
      </c>
      <c r="D85" s="51">
        <f>IF($B$6="ламель125",VLOOKUP(D$15,Данные1!$A$143:$AL$170,33,FALSE),0)</f>
        <v>0</v>
      </c>
      <c r="E85" s="59">
        <f>IF($B$6="ламель125",VLOOKUP(D$15,Данные1!$A$143:$AL$170,34,FALSE),0)</f>
        <v>0</v>
      </c>
      <c r="F85" s="51">
        <f>IF($B$6="ламель125",VLOOKUP(F$15,Данные1!$A$143:$AL$170,33,FALSE),0)</f>
        <v>0</v>
      </c>
      <c r="G85" s="59">
        <f>IF($B$6="ламель125",VLOOKUP(F$15,Данные1!$A$143:$AL$170,34,FALSE),0)</f>
        <v>0</v>
      </c>
      <c r="H85" s="53">
        <f>IF($B$6="ламель125",VLOOKUP(H$15,Данные1!$A$143:$AL$170,33,FALSE),0)</f>
        <v>0</v>
      </c>
      <c r="I85" s="51">
        <f>IF($B$6="ламель125",VLOOKUP(H$15,Данные1!$A$143:$AL$170,34,FALSE),0)</f>
        <v>0</v>
      </c>
      <c r="K85" s="11"/>
    </row>
    <row r="86" spans="1:11" ht="16.5" customHeight="1" x14ac:dyDescent="0.25">
      <c r="A86" s="44" t="s">
        <v>303</v>
      </c>
      <c r="B86" s="51">
        <f t="shared" ref="B86:D86" si="30">B85</f>
        <v>0</v>
      </c>
      <c r="C86" s="59">
        <f>C85</f>
        <v>0</v>
      </c>
      <c r="D86" s="51">
        <f t="shared" si="30"/>
        <v>0</v>
      </c>
      <c r="E86" s="59">
        <f>E85</f>
        <v>0</v>
      </c>
      <c r="F86" s="51">
        <f t="shared" ref="F86" si="31">F85</f>
        <v>0</v>
      </c>
      <c r="G86" s="59">
        <f>G85</f>
        <v>0</v>
      </c>
      <c r="H86" s="53">
        <f t="shared" ref="H86" si="32">H85</f>
        <v>0</v>
      </c>
      <c r="I86" s="51">
        <f>I85</f>
        <v>0</v>
      </c>
      <c r="K86" s="11"/>
    </row>
    <row r="87" spans="1:11" ht="16.5" customHeight="1" x14ac:dyDescent="0.25">
      <c r="A87" s="44" t="s">
        <v>60</v>
      </c>
      <c r="B87" s="51" t="str">
        <f>IF($B$6="ламель150",VLOOKUP(B$15,Данные1!$A$143:$AL$170,6,FALSE),0)</f>
        <v>-</v>
      </c>
      <c r="C87" s="59">
        <f>IF($B$6="ламель150",VLOOKUP(B$15,Данные1!$A$143:$AL$170,7,FALSE),0)</f>
        <v>0</v>
      </c>
      <c r="D87" s="51" t="str">
        <f>IF($B$6="ламель150",VLOOKUP(D$15,Данные1!$A$143:$AL$170,6,FALSE),0)</f>
        <v>-</v>
      </c>
      <c r="E87" s="59">
        <f>IF($B$6="ламель150",VLOOKUP(D$15,Данные1!$A$143:$AL$170,7,FALSE),0)</f>
        <v>0</v>
      </c>
      <c r="F87" s="51" t="str">
        <f>IF($B$6="ламель150",VLOOKUP(F$15,Данные1!$A$143:$AL$170,6,FALSE),0)</f>
        <v>-</v>
      </c>
      <c r="G87" s="59">
        <f>IF($B$6="ламель150",VLOOKUP(F$15,Данные1!$A$143:$AL$170,7,FALSE),0)</f>
        <v>0</v>
      </c>
      <c r="H87" s="53" t="str">
        <f>IF($B$6="ламель150",VLOOKUP(H$15,Данные1!$A$143:$AL$170,6,FALSE),0)</f>
        <v>-</v>
      </c>
      <c r="I87" s="51">
        <f>IF($B$6="ламель150",VLOOKUP(H$15,Данные1!$A$143:$AL$170,7,FALSE),0)</f>
        <v>0</v>
      </c>
      <c r="K87" s="11"/>
    </row>
    <row r="88" spans="1:11" ht="16.5" customHeight="1" x14ac:dyDescent="0.25">
      <c r="A88" s="44" t="s">
        <v>61</v>
      </c>
      <c r="B88" s="51" t="str">
        <f t="shared" ref="B88:C88" si="33">B87</f>
        <v>-</v>
      </c>
      <c r="C88" s="59">
        <f t="shared" si="33"/>
        <v>0</v>
      </c>
      <c r="D88" s="51" t="str">
        <f t="shared" ref="D88:I88" si="34">D87</f>
        <v>-</v>
      </c>
      <c r="E88" s="59">
        <f t="shared" si="34"/>
        <v>0</v>
      </c>
      <c r="F88" s="51" t="str">
        <f t="shared" si="34"/>
        <v>-</v>
      </c>
      <c r="G88" s="59">
        <f t="shared" si="34"/>
        <v>0</v>
      </c>
      <c r="H88" s="53" t="str">
        <f t="shared" si="34"/>
        <v>-</v>
      </c>
      <c r="I88" s="51">
        <f t="shared" si="34"/>
        <v>0</v>
      </c>
      <c r="K88" s="11"/>
    </row>
    <row r="89" spans="1:11" ht="16.5" customHeight="1" x14ac:dyDescent="0.25">
      <c r="A89" s="44" t="s">
        <v>60</v>
      </c>
      <c r="B89" s="51" t="str">
        <f>IF($B$6="ламель125",0,VLOOKUP(B$15,Данные1!$A$143:$AL$170,35,FALSE))</f>
        <v>-</v>
      </c>
      <c r="C89" s="59">
        <f>IF($B$6="ламель125",0,VLOOKUP(B$15,Данные1!$A$143:$AL$170,36,FALSE))</f>
        <v>0</v>
      </c>
      <c r="D89" s="51" t="str">
        <f>IF($B$6="ламель125",0,VLOOKUP(D$15,Данные1!$A$143:$AL$170,35,FALSE))</f>
        <v>-</v>
      </c>
      <c r="E89" s="59">
        <f>IF($B$6="ламель125",0,VLOOKUP(D$15,Данные1!$A$143:$AL$170,36,FALSE))</f>
        <v>0</v>
      </c>
      <c r="F89" s="51" t="str">
        <f>IF($B$6="ламель125",0,VLOOKUP(F$15,Данные1!$A$143:$AL$170,35,FALSE))</f>
        <v>-</v>
      </c>
      <c r="G89" s="59">
        <f>IF($B$6="ламель125",0,VLOOKUP(F$15,Данные1!$A$143:$AL$170,36,FALSE))</f>
        <v>0</v>
      </c>
      <c r="H89" s="53" t="str">
        <f>IF($B$6="ламель125",0,VLOOKUP(H$15,Данные1!$A$143:$AL$170,35,FALSE))</f>
        <v>-</v>
      </c>
      <c r="I89" s="51">
        <f>IF($B$6="ламель125",0,VLOOKUP(H$15,Данные1!$A$143:$AL$170,36,FALSE))</f>
        <v>0</v>
      </c>
      <c r="K89" s="11"/>
    </row>
    <row r="90" spans="1:11" ht="16.5" customHeight="1" x14ac:dyDescent="0.25">
      <c r="A90" s="44" t="s">
        <v>61</v>
      </c>
      <c r="B90" s="51" t="str">
        <f t="shared" ref="B90:D90" si="35">B89</f>
        <v>-</v>
      </c>
      <c r="C90" s="59">
        <f>C89</f>
        <v>0</v>
      </c>
      <c r="D90" s="51" t="str">
        <f t="shared" si="35"/>
        <v>-</v>
      </c>
      <c r="E90" s="59">
        <f>E89</f>
        <v>0</v>
      </c>
      <c r="F90" s="51" t="str">
        <f t="shared" ref="F90" si="36">F89</f>
        <v>-</v>
      </c>
      <c r="G90" s="59">
        <f>G89</f>
        <v>0</v>
      </c>
      <c r="H90" s="53" t="str">
        <f t="shared" ref="H90" si="37">H89</f>
        <v>-</v>
      </c>
      <c r="I90" s="51">
        <f>I89</f>
        <v>0</v>
      </c>
      <c r="K90" s="11"/>
    </row>
    <row r="91" spans="1:11" ht="16.5" customHeight="1" x14ac:dyDescent="0.25">
      <c r="A91" s="44" t="s">
        <v>304</v>
      </c>
      <c r="B91" s="51" t="str">
        <f>IF($B$6="ламель150",VLOOKUP(B$15,Данные1!$A$143:$AL$170,8,FALSE),0)</f>
        <v>-</v>
      </c>
      <c r="C91" s="59">
        <f>IF($B$6="ламель150",VLOOKUP(B$15,Данные1!$A$143:$AL$170,9,FALSE),0)</f>
        <v>0</v>
      </c>
      <c r="D91" s="51" t="str">
        <f>IF($B$6="ламель150",VLOOKUP(D$15,Данные1!$A$143:$AL$170,8,FALSE),0)</f>
        <v>-</v>
      </c>
      <c r="E91" s="59">
        <f>IF($B$6="ламель150",VLOOKUP(D$15,Данные1!$A$143:$AL$170,9,FALSE),0)</f>
        <v>0</v>
      </c>
      <c r="F91" s="51" t="str">
        <f>IF($B$6="ламель150",VLOOKUP(F$15,Данные1!$A$143:$AL$170,8,FALSE),0)</f>
        <v>-</v>
      </c>
      <c r="G91" s="59">
        <f>IF($B$6="ламель150",VLOOKUP(F$15,Данные1!$A$143:$AL$170,9,FALSE),0)</f>
        <v>0</v>
      </c>
      <c r="H91" s="53" t="str">
        <f>IF($B$6="ламель150",VLOOKUP(H$15,Данные1!$A$143:$AL$170,8,FALSE),0)</f>
        <v>-</v>
      </c>
      <c r="I91" s="51">
        <f>IF($B$6="ламель150",VLOOKUP(H$15,Данные1!$A$143:$AL$170,9,FALSE),0)</f>
        <v>0</v>
      </c>
      <c r="K91" s="11"/>
    </row>
    <row r="92" spans="1:11" ht="16.5" customHeight="1" x14ac:dyDescent="0.25">
      <c r="A92" s="44" t="s">
        <v>305</v>
      </c>
      <c r="B92" s="51" t="str">
        <f>B91</f>
        <v>-</v>
      </c>
      <c r="C92" s="59">
        <f t="shared" ref="C92" si="38">C91</f>
        <v>0</v>
      </c>
      <c r="D92" s="51" t="str">
        <f>D91</f>
        <v>-</v>
      </c>
      <c r="E92" s="59">
        <f t="shared" ref="E92" si="39">E91</f>
        <v>0</v>
      </c>
      <c r="F92" s="51" t="str">
        <f>F91</f>
        <v>-</v>
      </c>
      <c r="G92" s="59">
        <f t="shared" ref="G92" si="40">G91</f>
        <v>0</v>
      </c>
      <c r="H92" s="53" t="str">
        <f>H91</f>
        <v>-</v>
      </c>
      <c r="I92" s="51">
        <f t="shared" ref="I92" si="41">I91</f>
        <v>0</v>
      </c>
      <c r="K92" s="11"/>
    </row>
    <row r="93" spans="1:11" ht="16.5" customHeight="1" x14ac:dyDescent="0.25">
      <c r="A93" s="44" t="s">
        <v>304</v>
      </c>
      <c r="B93" s="51" t="str">
        <f>IF($B$6="ламель125",0,VLOOKUP(B$15,Данные1!$A$143:$AL$170,37,FALSE))</f>
        <v>-</v>
      </c>
      <c r="C93" s="59">
        <f>IF($B$6="ламель125",0,VLOOKUP(B$15,Данные1!$A$143:$AL$170,38,FALSE))</f>
        <v>0</v>
      </c>
      <c r="D93" s="51" t="str">
        <f>IF($B$6="ламель125",0,VLOOKUP(D$15,Данные1!$A$143:$AL$170,37,FALSE))</f>
        <v>-</v>
      </c>
      <c r="E93" s="59">
        <f>IF($B$6="ламель125",0,VLOOKUP(D$15,Данные1!$A$143:$AL$170,38,FALSE))</f>
        <v>0</v>
      </c>
      <c r="F93" s="51" t="str">
        <f>IF($B$6="ламель125",0,VLOOKUP(F$15,Данные1!$A$143:$AL$170,37,FALSE))</f>
        <v>-</v>
      </c>
      <c r="G93" s="59">
        <f>IF($B$6="ламель125",0,VLOOKUP(F$15,Данные1!$A$143:$AL$170,38,FALSE))</f>
        <v>0</v>
      </c>
      <c r="H93" s="53" t="str">
        <f>IF($B$6="ламель125",0,VLOOKUP(H$15,Данные1!$A$143:$AL$170,37,FALSE))</f>
        <v>-</v>
      </c>
      <c r="I93" s="51">
        <f>IF($B$6="ламель125",0,VLOOKUP(H$15,Данные1!$A$143:$AL$170,38,FALSE))</f>
        <v>0</v>
      </c>
      <c r="K93" s="11"/>
    </row>
    <row r="94" spans="1:11" ht="16.5" customHeight="1" x14ac:dyDescent="0.25">
      <c r="A94" s="44" t="s">
        <v>305</v>
      </c>
      <c r="B94" s="51" t="str">
        <f t="shared" ref="B94:D94" si="42">B93</f>
        <v>-</v>
      </c>
      <c r="C94" s="59">
        <f>C93</f>
        <v>0</v>
      </c>
      <c r="D94" s="51" t="str">
        <f t="shared" si="42"/>
        <v>-</v>
      </c>
      <c r="E94" s="59">
        <f>E93</f>
        <v>0</v>
      </c>
      <c r="F94" s="51" t="str">
        <f t="shared" ref="F94" si="43">F93</f>
        <v>-</v>
      </c>
      <c r="G94" s="59">
        <f>G93</f>
        <v>0</v>
      </c>
      <c r="H94" s="53" t="str">
        <f t="shared" ref="H94" si="44">H93</f>
        <v>-</v>
      </c>
      <c r="I94" s="51">
        <f>I93</f>
        <v>0</v>
      </c>
      <c r="K94" s="11"/>
    </row>
    <row r="95" spans="1:11" ht="16.5" customHeight="1" x14ac:dyDescent="0.25">
      <c r="A95" s="44" t="s">
        <v>185</v>
      </c>
      <c r="B95" s="51" t="str">
        <f>VLOOKUP(B15,Данные1!$A$143:$AO$170,41,FALSE)</f>
        <v>-</v>
      </c>
      <c r="C95" s="59">
        <f>VLOOKUP(B15,Данные1!$A$143:$AO$170,40,FALSE)</f>
        <v>0</v>
      </c>
      <c r="D95" s="51" t="str">
        <f>VLOOKUP(D15,Данные1!$A$143:$AO$170,41,FALSE)</f>
        <v>-</v>
      </c>
      <c r="E95" s="59">
        <f>VLOOKUP(D15,Данные1!$A$143:$AO$170,40,FALSE)</f>
        <v>0</v>
      </c>
      <c r="F95" s="51" t="str">
        <f>VLOOKUP(F15,Данные1!$A$143:$AO$170,41,FALSE)</f>
        <v>-</v>
      </c>
      <c r="G95" s="59">
        <f>VLOOKUP(F15,Данные1!$A$143:$AO$170,40,FALSE)</f>
        <v>0</v>
      </c>
      <c r="H95" s="53" t="str">
        <f>VLOOKUP(H15,Данные1!$A$143:$AO$170,41,FALSE)</f>
        <v>-</v>
      </c>
      <c r="I95" s="51">
        <f>VLOOKUP(H15,Данные1!$A$143:$AO$170,40,FALSE)</f>
        <v>0</v>
      </c>
      <c r="K95" s="11"/>
    </row>
    <row r="96" spans="1:11" ht="16.5" customHeight="1" x14ac:dyDescent="0.25">
      <c r="A96" s="44" t="s">
        <v>76</v>
      </c>
      <c r="B96" s="51">
        <f>IF(AND(IF($B$6="ламель125",VLOOKUP(B$15,Данные1!$A$143:$AL$170,10,FALSE),VLOOKUP(B$15,Данные1!$A$143:$AL$170,12,FALSE))&gt;=0.1, IF($B$6="ламель125",VLOOKUP(B$15,Данные1!$A$143:$AL$170,10,FALSE),VLOOKUP(B$15,Данные1!$A$143:$AL$170,12,FALSE))&lt;=1.8), 1.8, IF(AND(IF($B$6="ламель125",VLOOKUP(B$15,Данные1!$A$143:$AL$170,10,FALSE),VLOOKUP(B$15,Данные1!$A$143:$AL$170,12,FALSE))&gt;1.8, IF($B$6="ламель125",VLOOKUP(B$15,Данные1!$A$143:$AL$170,10,FALSE),VLOOKUP(B$15,Данные1!$A$143:$AL$170,12,FALSE))&lt;=2), 2, IF(AND(IF($B$6="ламель125",VLOOKUP(B$15,Данные1!$A$143:$AL$170,10,FALSE),VLOOKUP(B$15,Данные1!$A$143:$AL$170,12,FALSE))&gt;2, IF($B$6="ламель125",VLOOKUP(B$15,Данные1!$A$143:$AL$170,10,FALSE),VLOOKUP(B$15,Данные1!$A$143:$AL$170,12,FALSE))&lt;=2.5), 2.5, IF(AND(IF($B$6="ламель125",VLOOKUP(B$15,Данные1!$A$143:$AL$170,10,FALSE),VLOOKUP(B$15,Данные1!$A$143:$AL$170,12,FALSE))&gt;2.5, IF($B$6="ламель125",VLOOKUP(B$15,Данные1!$A$143:$AL$170,10,FALSE),VLOOKUP(B$15,Данные1!$A$143:$AL$170,12,FALSE))&lt;=3), 3, 0))))</f>
        <v>0</v>
      </c>
      <c r="C96" s="59">
        <f>IF($B$6="ламель125",VLOOKUP(B$15,Данные1!$A$143:$AL$170,11,FALSE),VLOOKUP(B$15,Данные1!$A$143:$AL$170,13,FALSE))</f>
        <v>0</v>
      </c>
      <c r="D96" s="51">
        <f>IF(AND(IF($B$6="ламель125",VLOOKUP(D$15,Данные1!$A$143:$AL$170,10,FALSE),VLOOKUP(D$15,Данные1!$A$143:$AL$170,12,FALSE))&gt;=0.1, IF($B$6="ламель125",VLOOKUP(D$15,Данные1!$A$143:$AL$170,10,FALSE),VLOOKUP(D$15,Данные1!$A$143:$AL$170,12,FALSE))&lt;=1.8), 1.8, IF(AND(IF($B$6="ламель125",VLOOKUP(D$15,Данные1!$A$143:$AL$170,10,FALSE),VLOOKUP(D$15,Данные1!$A$143:$AL$170,12,FALSE))&gt;1.8, IF($B$6="ламель125",VLOOKUP(D$15,Данные1!$A$143:$AL$170,10,FALSE),VLOOKUP(D$15,Данные1!$A$143:$AL$170,12,FALSE))&lt;=2), 2, IF(AND(IF($B$6="ламель125",VLOOKUP(D$15,Данные1!$A$143:$AL$170,10,FALSE),VLOOKUP(D$15,Данные1!$A$143:$AL$170,12,FALSE))&gt;2, IF($B$6="ламель125",VLOOKUP(D$15,Данные1!$A$143:$AL$170,10,FALSE),VLOOKUP(D$15,Данные1!$A$143:$AL$170,12,FALSE))&lt;=2.5), 2.5, IF(AND(IF($B$6="ламель125",VLOOKUP(D$15,Данные1!$A$143:$AL$170,10,FALSE),VLOOKUP(D$15,Данные1!$A$143:$AL$170,12,FALSE))&gt;2.5, IF($B$6="ламель125",VLOOKUP(D$15,Данные1!$A$143:$AL$170,10,FALSE),VLOOKUP(D$15,Данные1!$A$143:$AL$170,12,FALSE))&lt;=3), 3, 0))))</f>
        <v>0</v>
      </c>
      <c r="E96" s="59">
        <f>IF($B$6="ламель125",VLOOKUP(D$15,Данные1!$A$143:$AL$170,11,FALSE),VLOOKUP(D$15,Данные1!$A$143:$AL$170,13,FALSE))</f>
        <v>0</v>
      </c>
      <c r="F96" s="51">
        <f>IF(AND(IF($B$6="ламель125",VLOOKUP(F$15,Данные1!$A$143:$AL$170,10,FALSE),VLOOKUP(F$15,Данные1!$A$143:$AL$170,12,FALSE))&gt;=0.1, IF($B$6="ламель125",VLOOKUP(F$15,Данные1!$A$143:$AL$170,10,FALSE),VLOOKUP(F$15,Данные1!$A$143:$AL$170,12,FALSE))&lt;=1.8), 1.8, IF(AND(IF($B$6="ламель125",VLOOKUP(F$15,Данные1!$A$143:$AL$170,10,FALSE),VLOOKUP(F$15,Данные1!$A$143:$AL$170,12,FALSE))&gt;1.8, IF($B$6="ламель125",VLOOKUP(F$15,Данные1!$A$143:$AL$170,10,FALSE),VLOOKUP(F$15,Данные1!$A$143:$AL$170,12,FALSE))&lt;=2), 2, IF(AND(IF($B$6="ламель125",VLOOKUP(F$15,Данные1!$A$143:$AL$170,10,FALSE),VLOOKUP(F$15,Данные1!$A$143:$AL$170,12,FALSE))&gt;2, IF($B$6="ламель125",VLOOKUP(F$15,Данные1!$A$143:$AL$170,10,FALSE),VLOOKUP(F$15,Данные1!$A$143:$AL$170,12,FALSE))&lt;=2.5), 2.5, IF(AND(IF($B$6="ламель125",VLOOKUP(F$15,Данные1!$A$143:$AL$170,10,FALSE),VLOOKUP(F$15,Данные1!$A$143:$AL$170,12,FALSE))&gt;2.5, IF($B$6="ламель125",VLOOKUP(F$15,Данные1!$A$143:$AL$170,10,FALSE),VLOOKUP(F$15,Данные1!$A$143:$AL$170,12,FALSE))&lt;=3), 3, 0))))</f>
        <v>0</v>
      </c>
      <c r="G96" s="59">
        <f>IF($B$6="ламель125",VLOOKUP(F$15,Данные1!$A$143:$AL$170,11,FALSE),VLOOKUP(F$15,Данные1!$A$143:$AL$170,13,FALSE))</f>
        <v>0</v>
      </c>
      <c r="H96" s="53">
        <f>IF(AND(IF($B$6="ламель125",VLOOKUP(H$15,Данные1!$A$143:$AL$170,10,FALSE),VLOOKUP(H$15,Данные1!$A$143:$AL$170,12,FALSE))&gt;=0.1, IF($B$6="ламель125",VLOOKUP(H$15,Данные1!$A$143:$AL$170,10,FALSE),VLOOKUP(H$15,Данные1!$A$143:$AL$170,12,FALSE))&lt;=1.8), 1.8, IF(AND(IF($B$6="ламель125",VLOOKUP(H$15,Данные1!$A$143:$AL$170,10,FALSE),VLOOKUP(H$15,Данные1!$A$143:$AL$170,12,FALSE))&gt;1.8, IF($B$6="ламель125",VLOOKUP(H$15,Данные1!$A$143:$AL$170,10,FALSE),VLOOKUP(H$15,Данные1!$A$143:$AL$170,12,FALSE))&lt;=2), 2, IF(AND(IF($B$6="ламель125",VLOOKUP(H$15,Данные1!$A$143:$AL$170,10,FALSE),VLOOKUP(H$15,Данные1!$A$143:$AL$170,12,FALSE))&gt;2, IF($B$6="ламель125",VLOOKUP(H$15,Данные1!$A$143:$AL$170,10,FALSE),VLOOKUP(H$15,Данные1!$A$143:$AL$170,12,FALSE))&lt;=2.5), 2.5, IF(AND(IF($B$6="ламель125",VLOOKUP(H$15,Данные1!$A$143:$AL$170,10,FALSE),VLOOKUP(H$15,Данные1!$A$143:$AL$170,12,FALSE))&gt;2.5, IF($B$6="ламель125",VLOOKUP(H$15,Данные1!$A$143:$AL$170,10,FALSE),VLOOKUP(H$15,Данные1!$A$143:$AL$170,12,FALSE))&lt;=3), 3, 0))))</f>
        <v>0</v>
      </c>
      <c r="I96" s="51">
        <f>IF($B$6="ламель125",VLOOKUP(H$15,Данные1!$A$143:$AL$170,11,FALSE),VLOOKUP(H$15,Данные1!$A$143:$AL$170,13,FALSE))</f>
        <v>0</v>
      </c>
      <c r="K96" s="11"/>
    </row>
    <row r="97" spans="1:30" ht="16.5" customHeight="1" x14ac:dyDescent="0.25">
      <c r="A97" s="44" t="s">
        <v>85</v>
      </c>
      <c r="B97" s="51" t="s">
        <v>10</v>
      </c>
      <c r="C97" s="59">
        <f>IF($B$6="ламель125",VLOOKUP(B$15,Данные1!$A$143:$AL$170,21,FALSE),0)</f>
        <v>0</v>
      </c>
      <c r="D97" s="51" t="s">
        <v>10</v>
      </c>
      <c r="E97" s="59">
        <f>IF($B$6="ламель125",VLOOKUP(D$15,Данные1!$A$143:$AL$170,21,FALSE),0)</f>
        <v>0</v>
      </c>
      <c r="F97" s="51" t="s">
        <v>10</v>
      </c>
      <c r="G97" s="59">
        <f>IF($B$6="ламель125",VLOOKUP(F$15,Данные1!$A$143:$AL$170,21,FALSE),0)</f>
        <v>0</v>
      </c>
      <c r="H97" s="53" t="s">
        <v>10</v>
      </c>
      <c r="I97" s="51">
        <f>IF($B$6="ламель125",VLOOKUP(H$15,Данные1!$A$143:$AL$170,21,FALSE),0)</f>
        <v>0</v>
      </c>
      <c r="K97" s="11"/>
    </row>
    <row r="98" spans="1:30" ht="16.5" customHeight="1" x14ac:dyDescent="0.25">
      <c r="A98" s="44" t="s">
        <v>86</v>
      </c>
      <c r="B98" s="51" t="s">
        <v>10</v>
      </c>
      <c r="C98" s="59">
        <f>IF($B$6="ламель125",VLOOKUP(B$15,Данные1!$A$143:$AL$170,22,FALSE),0)</f>
        <v>0</v>
      </c>
      <c r="D98" s="51" t="s">
        <v>10</v>
      </c>
      <c r="E98" s="59">
        <f>IF($B$6="ламель125",VLOOKUP(D$15,Данные1!$A$143:$AL$170,22,FALSE),0)</f>
        <v>0</v>
      </c>
      <c r="F98" s="51" t="s">
        <v>10</v>
      </c>
      <c r="G98" s="59">
        <f>IF($B$6="ламель125",VLOOKUP(F$15,Данные1!$A$143:$AL$170,22,FALSE),0)</f>
        <v>0</v>
      </c>
      <c r="H98" s="53" t="s">
        <v>10</v>
      </c>
      <c r="I98" s="51">
        <f>IF($B$6="ламель125",VLOOKUP(H$15,Данные1!$A$143:$AL$170,22,FALSE),0)</f>
        <v>0</v>
      </c>
      <c r="K98" s="11"/>
    </row>
    <row r="99" spans="1:30" ht="16.5" customHeight="1" x14ac:dyDescent="0.25">
      <c r="A99" s="44" t="s">
        <v>87</v>
      </c>
      <c r="B99" s="51" t="s">
        <v>10</v>
      </c>
      <c r="C99" s="59">
        <f>IF($B$6="ламель125",VLOOKUP(B$15,Данные1!$A$143:$AL$170,23,FALSE),0)</f>
        <v>0</v>
      </c>
      <c r="D99" s="51" t="s">
        <v>10</v>
      </c>
      <c r="E99" s="59">
        <f>IF($B$6="ламель125",VLOOKUP(D$15,Данные1!$A$143:$AL$170,23,FALSE),0)</f>
        <v>0</v>
      </c>
      <c r="F99" s="51" t="s">
        <v>10</v>
      </c>
      <c r="G99" s="59">
        <f>IF($B$6="ламель125",VLOOKUP(F$15,Данные1!$A$143:$AL$170,23,FALSE),0)</f>
        <v>0</v>
      </c>
      <c r="H99" s="53" t="s">
        <v>10</v>
      </c>
      <c r="I99" s="51">
        <f>IF($B$6="ламель125",VLOOKUP(H$15,Данные1!$A$143:$AL$170,23,FALSE),0)</f>
        <v>0</v>
      </c>
      <c r="K99" s="11"/>
    </row>
    <row r="100" spans="1:30" ht="16.5" customHeight="1" x14ac:dyDescent="0.25">
      <c r="A100" s="44" t="s">
        <v>88</v>
      </c>
      <c r="B100" s="51" t="s">
        <v>10</v>
      </c>
      <c r="C100" s="59">
        <f>IF($B$6="ламель150",VLOOKUP(B$15,Данные1!$A$143:$AL$170,24,FALSE),0)</f>
        <v>0</v>
      </c>
      <c r="D100" s="51" t="s">
        <v>10</v>
      </c>
      <c r="E100" s="59">
        <f>IF($B$6="ламель150",VLOOKUP(D$15,Данные1!$A$143:$AL$170,24,FALSE),0)</f>
        <v>0</v>
      </c>
      <c r="F100" s="51" t="s">
        <v>10</v>
      </c>
      <c r="G100" s="59">
        <f>IF($B$6="ламель150",VLOOKUP(F$15,Данные1!$A$143:$AL$170,24,FALSE),0)</f>
        <v>0</v>
      </c>
      <c r="H100" s="53" t="s">
        <v>10</v>
      </c>
      <c r="I100" s="51">
        <f>IF($B$6="ламель150",VLOOKUP(H$15,Данные1!$A$143:$AL$170,24,FALSE),0)</f>
        <v>0</v>
      </c>
      <c r="K100" s="11"/>
    </row>
    <row r="101" spans="1:30" ht="16.5" customHeight="1" x14ac:dyDescent="0.25">
      <c r="A101" s="44" t="s">
        <v>89</v>
      </c>
      <c r="B101" s="51" t="s">
        <v>10</v>
      </c>
      <c r="C101" s="59">
        <f>IF($B$6="ламель150",VLOOKUP(B$15,Данные1!$A$143:$AL$170,25,FALSE),0)</f>
        <v>0</v>
      </c>
      <c r="D101" s="51" t="s">
        <v>10</v>
      </c>
      <c r="E101" s="59">
        <f>IF($B$6="ламель150",VLOOKUP(D$15,Данные1!$A$143:$AL$170,25,FALSE),0)</f>
        <v>0</v>
      </c>
      <c r="F101" s="51" t="s">
        <v>10</v>
      </c>
      <c r="G101" s="59">
        <f>IF($B$6="ламель150",VLOOKUP(F$15,Данные1!$A$143:$AL$170,25,FALSE),0)</f>
        <v>0</v>
      </c>
      <c r="H101" s="53" t="s">
        <v>10</v>
      </c>
      <c r="I101" s="51">
        <f>IF($B$6="ламель150",VLOOKUP(H$15,Данные1!$A$143:$AL$170,25,FALSE),0)</f>
        <v>0</v>
      </c>
      <c r="K101" s="11"/>
    </row>
    <row r="102" spans="1:30" ht="16.5" customHeight="1" x14ac:dyDescent="0.25">
      <c r="A102" s="44" t="s">
        <v>90</v>
      </c>
      <c r="B102" s="51" t="s">
        <v>10</v>
      </c>
      <c r="C102" s="59">
        <f>IF($B$6="ламель150",VLOOKUP(B$15,Данные1!$A$143:$AL$170,26,FALSE),0)</f>
        <v>0</v>
      </c>
      <c r="D102" s="51" t="s">
        <v>10</v>
      </c>
      <c r="E102" s="59">
        <f>IF($B$6="ламель150",VLOOKUP(D$15,Данные1!$A$143:$AL$170,26,FALSE),0)</f>
        <v>0</v>
      </c>
      <c r="F102" s="51" t="s">
        <v>10</v>
      </c>
      <c r="G102" s="59">
        <f>IF($B$6="ламель150",VLOOKUP(F$15,Данные1!$A$143:$AL$170,26,FALSE),0)</f>
        <v>0</v>
      </c>
      <c r="H102" s="53" t="s">
        <v>10</v>
      </c>
      <c r="I102" s="51">
        <f>IF($B$6="ламель150",VLOOKUP(H$15,Данные1!$A$143:$AL$170,26,FALSE),0)</f>
        <v>0</v>
      </c>
      <c r="K102" s="11"/>
    </row>
    <row r="103" spans="1:30" ht="16.5" customHeight="1" x14ac:dyDescent="0.25">
      <c r="A103" s="44" t="s">
        <v>150</v>
      </c>
      <c r="B103" s="55" t="str">
        <f>IF(C103=0,"-","4,0х10")</f>
        <v>-</v>
      </c>
      <c r="C103" s="59">
        <f>IF($B$6="ламель125",VLOOKUP(B$15,Данные1!$A$143:$AL$170,18,FALSE),VLOOKUP(B$15,Данные1!$A$143:$AL$170,19,FALSE))</f>
        <v>0</v>
      </c>
      <c r="D103" s="55" t="str">
        <f>IF(E103=0,"-","4,0х10")</f>
        <v>-</v>
      </c>
      <c r="E103" s="59">
        <f>IF($B$6="ламель125",VLOOKUP(D$15,Данные1!$A$143:$AL$170,18,FALSE),VLOOKUP(D$15,Данные1!$A$143:$AL$170,19,FALSE))</f>
        <v>0</v>
      </c>
      <c r="F103" s="55" t="str">
        <f>IF(G103=0,"-","4,0х10")</f>
        <v>-</v>
      </c>
      <c r="G103" s="59">
        <f>IF($B$6="ламель125",VLOOKUP(F$15,Данные1!$A$143:$AL$170,18,FALSE),VLOOKUP(F$15,Данные1!$A$143:$AL$170,19,FALSE))</f>
        <v>0</v>
      </c>
      <c r="H103" s="56" t="str">
        <f>IF(I103=0,"-","4,0х10")</f>
        <v>-</v>
      </c>
      <c r="I103" s="51">
        <f>IF($B$6="ламель125",VLOOKUP(H$15,Данные1!$A$143:$AL$170,18,FALSE),VLOOKUP(H$15,Данные1!$A$143:$AL$170,19,FALSE))</f>
        <v>0</v>
      </c>
      <c r="K103" s="11"/>
      <c r="R103" s="12"/>
      <c r="S103" s="6"/>
      <c r="T103" s="6"/>
      <c r="U103" s="6"/>
      <c r="V103" s="6"/>
      <c r="W103" s="6"/>
      <c r="X103" s="6"/>
      <c r="Y103" s="6"/>
      <c r="Z103" s="13"/>
      <c r="AA103" s="11"/>
      <c r="AB103" s="14"/>
      <c r="AC103" s="14"/>
      <c r="AD103" s="14"/>
    </row>
    <row r="104" spans="1:30" ht="16.5" customHeight="1" x14ac:dyDescent="0.25">
      <c r="A104" s="38" t="s">
        <v>66</v>
      </c>
      <c r="B104" s="55" t="str">
        <f>IF(C104=0,"-","4,2x16")</f>
        <v>-</v>
      </c>
      <c r="C104" s="59">
        <f>VLOOKUP(B$15,Данные1!$A$143:$AL$170,20,FALSE)</f>
        <v>0</v>
      </c>
      <c r="D104" s="55" t="str">
        <f>IF(E104=0,"-","4,2x16")</f>
        <v>-</v>
      </c>
      <c r="E104" s="59">
        <f>VLOOKUP(D$15,Данные1!$A$143:$AL$170,20,FALSE)</f>
        <v>0</v>
      </c>
      <c r="F104" s="55" t="str">
        <f>IF(G104=0,"-","4,2x16")</f>
        <v>-</v>
      </c>
      <c r="G104" s="59">
        <f>VLOOKUP(F$15,Данные1!$A$143:$AL$170,20,FALSE)</f>
        <v>0</v>
      </c>
      <c r="H104" s="56" t="str">
        <f>IF(I104=0,"-","4,2x16")</f>
        <v>-</v>
      </c>
      <c r="I104" s="51">
        <f>VLOOKUP(H$15,Данные1!$A$143:$AL$170,20,FALSE)</f>
        <v>0</v>
      </c>
      <c r="K104" s="11"/>
      <c r="R104" s="12"/>
      <c r="S104" s="6"/>
      <c r="T104" s="6"/>
      <c r="U104" s="6"/>
      <c r="V104" s="6"/>
      <c r="W104" s="6"/>
      <c r="X104" s="6"/>
      <c r="Y104" s="6"/>
      <c r="Z104" s="13"/>
      <c r="AA104" s="11"/>
      <c r="AB104" s="14"/>
      <c r="AC104" s="14"/>
      <c r="AD104" s="14"/>
    </row>
    <row r="105" spans="1:30" ht="16.5" customHeight="1" x14ac:dyDescent="0.25">
      <c r="A105" s="44" t="s">
        <v>117</v>
      </c>
      <c r="B105" s="51">
        <f>B96</f>
        <v>0</v>
      </c>
      <c r="C105" s="52">
        <f>VLOOKUP(B15,Данные1!$A$143:$AP$170,42,FALSE)</f>
        <v>0</v>
      </c>
      <c r="D105" s="51">
        <f>D96</f>
        <v>0</v>
      </c>
      <c r="E105" s="52">
        <f>VLOOKUP(D15,Данные1!$A$143:$AP$170,42,FALSE)</f>
        <v>0</v>
      </c>
      <c r="F105" s="51">
        <f>F96</f>
        <v>0</v>
      </c>
      <c r="G105" s="52">
        <f>VLOOKUP(F15,Данные1!$A$143:$AP$170,42,FALSE)</f>
        <v>0</v>
      </c>
      <c r="H105" s="53">
        <f>H96</f>
        <v>0</v>
      </c>
      <c r="I105" s="54">
        <f>VLOOKUP(H15,Данные1!$A$143:$AP$170,42,FALSE)</f>
        <v>0</v>
      </c>
      <c r="K105" s="11"/>
      <c r="R105" s="12"/>
      <c r="S105" s="6"/>
      <c r="T105" s="6"/>
      <c r="U105" s="6"/>
      <c r="V105" s="6"/>
      <c r="W105" s="6"/>
      <c r="X105" s="6"/>
      <c r="Y105" s="6"/>
      <c r="Z105" s="13"/>
      <c r="AA105" s="11"/>
      <c r="AB105" s="14"/>
      <c r="AC105" s="14"/>
      <c r="AD105" s="14"/>
    </row>
    <row r="106" spans="1:30" ht="16.5" customHeight="1" x14ac:dyDescent="0.25">
      <c r="A106" s="44" t="s">
        <v>118</v>
      </c>
      <c r="B106" s="51">
        <f>B96</f>
        <v>0</v>
      </c>
      <c r="C106" s="52">
        <f>VLOOKUP(B15,Данные1!$A$143:$AP$170,42,FALSE)</f>
        <v>0</v>
      </c>
      <c r="D106" s="51">
        <f>D96</f>
        <v>0</v>
      </c>
      <c r="E106" s="52">
        <f>VLOOKUP(D15,Данные1!$A$143:$AP$170,42,FALSE)</f>
        <v>0</v>
      </c>
      <c r="F106" s="51">
        <f>F96</f>
        <v>0</v>
      </c>
      <c r="G106" s="52">
        <f>VLOOKUP(F15,Данные1!$A$143:$AP$170,42,FALSE)</f>
        <v>0</v>
      </c>
      <c r="H106" s="53">
        <f>H96</f>
        <v>0</v>
      </c>
      <c r="I106" s="54">
        <f>VLOOKUP(H15,Данные1!$A$143:$AP$170,42,FALSE)</f>
        <v>0</v>
      </c>
      <c r="K106" s="11"/>
      <c r="R106" s="12"/>
      <c r="S106" s="6"/>
      <c r="T106" s="6"/>
      <c r="U106" s="6"/>
      <c r="V106" s="6"/>
      <c r="W106" s="6"/>
      <c r="X106" s="6"/>
      <c r="Y106" s="6"/>
      <c r="Z106" s="13"/>
      <c r="AA106" s="11"/>
      <c r="AB106" s="14"/>
      <c r="AC106" s="14"/>
      <c r="AD106" s="14"/>
    </row>
    <row r="107" spans="1:30" ht="16.5" customHeight="1" x14ac:dyDescent="0.25">
      <c r="A107" s="71" t="s">
        <v>206</v>
      </c>
      <c r="B107" s="76"/>
      <c r="C107" s="77"/>
      <c r="D107" s="80"/>
      <c r="E107" s="77"/>
      <c r="F107" s="80"/>
      <c r="G107" s="77"/>
      <c r="H107" s="80"/>
      <c r="I107" s="76"/>
      <c r="J107" s="40"/>
      <c r="K107" s="11"/>
    </row>
    <row r="108" spans="1:30" ht="16.5" customHeight="1" x14ac:dyDescent="0.25">
      <c r="A108" s="38" t="s">
        <v>66</v>
      </c>
      <c r="B108" s="55" t="s">
        <v>14</v>
      </c>
      <c r="C108" s="52">
        <f>C41+C77+C104</f>
        <v>0</v>
      </c>
      <c r="D108" s="55" t="s">
        <v>14</v>
      </c>
      <c r="E108" s="52">
        <f>E41+E77+E104</f>
        <v>0</v>
      </c>
      <c r="F108" s="55" t="s">
        <v>14</v>
      </c>
      <c r="G108" s="52">
        <f>G41+G77+G104</f>
        <v>0</v>
      </c>
      <c r="H108" s="55" t="s">
        <v>14</v>
      </c>
      <c r="I108" s="51">
        <f>I41+I77+I104</f>
        <v>0</v>
      </c>
      <c r="J108" s="40"/>
      <c r="K108" s="11"/>
    </row>
    <row r="109" spans="1:30" ht="16.5" customHeight="1" x14ac:dyDescent="0.25">
      <c r="A109" s="44" t="s">
        <v>13</v>
      </c>
      <c r="B109" s="55" t="s">
        <v>14</v>
      </c>
      <c r="C109" s="52">
        <f>C42</f>
        <v>0</v>
      </c>
      <c r="D109" s="55" t="s">
        <v>14</v>
      </c>
      <c r="E109" s="52">
        <f>E42</f>
        <v>0</v>
      </c>
      <c r="F109" s="55" t="s">
        <v>14</v>
      </c>
      <c r="G109" s="52">
        <f>G42</f>
        <v>0</v>
      </c>
      <c r="H109" s="55" t="s">
        <v>14</v>
      </c>
      <c r="I109" s="51">
        <f>I42</f>
        <v>0</v>
      </c>
      <c r="J109" s="40"/>
      <c r="K109" s="11"/>
    </row>
    <row r="110" spans="1:30" ht="16.5" customHeight="1" x14ac:dyDescent="0.25">
      <c r="A110" s="44" t="s">
        <v>150</v>
      </c>
      <c r="B110" s="55" t="s">
        <v>91</v>
      </c>
      <c r="C110" s="59">
        <f>C103</f>
        <v>0</v>
      </c>
      <c r="D110" s="55" t="s">
        <v>91</v>
      </c>
      <c r="E110" s="59">
        <f>E103</f>
        <v>0</v>
      </c>
      <c r="F110" s="55" t="s">
        <v>91</v>
      </c>
      <c r="G110" s="59">
        <f>G103</f>
        <v>0</v>
      </c>
      <c r="H110" s="55" t="s">
        <v>91</v>
      </c>
      <c r="I110" s="51">
        <f>I103</f>
        <v>0</v>
      </c>
      <c r="J110" s="40"/>
      <c r="K110" s="11"/>
    </row>
    <row r="111" spans="1:30" s="93" customFormat="1" ht="16.5" customHeight="1" x14ac:dyDescent="0.25">
      <c r="A111" s="44" t="s">
        <v>260</v>
      </c>
      <c r="B111" s="55" t="s">
        <v>172</v>
      </c>
      <c r="C111" s="52">
        <f>C43</f>
        <v>0</v>
      </c>
      <c r="D111" s="55" t="s">
        <v>172</v>
      </c>
      <c r="E111" s="52">
        <f>E43</f>
        <v>0</v>
      </c>
      <c r="F111" s="55" t="s">
        <v>172</v>
      </c>
      <c r="G111" s="52">
        <f>G43</f>
        <v>0</v>
      </c>
      <c r="H111" s="55" t="s">
        <v>172</v>
      </c>
      <c r="I111" s="51">
        <f>I43</f>
        <v>0</v>
      </c>
      <c r="J111" s="92"/>
      <c r="K111" s="90"/>
    </row>
    <row r="112" spans="1:30" s="93" customFormat="1" ht="16.5" customHeight="1" x14ac:dyDescent="0.25">
      <c r="A112" s="44" t="s">
        <v>261</v>
      </c>
      <c r="B112" s="55"/>
      <c r="C112" s="52">
        <f>C44</f>
        <v>0</v>
      </c>
      <c r="D112" s="55"/>
      <c r="E112" s="52">
        <f>E44</f>
        <v>0</v>
      </c>
      <c r="F112" s="55"/>
      <c r="G112" s="52">
        <f>G44</f>
        <v>0</v>
      </c>
      <c r="H112" s="55"/>
      <c r="I112" s="51">
        <f>I44</f>
        <v>0</v>
      </c>
      <c r="J112" s="92"/>
      <c r="K112" s="90"/>
    </row>
    <row r="113" spans="1:11" ht="12.75" customHeight="1" x14ac:dyDescent="0.25">
      <c r="A113" s="12"/>
      <c r="B113" s="39"/>
      <c r="C113" s="11"/>
      <c r="D113" s="11"/>
      <c r="E113" s="11"/>
      <c r="F113" s="11"/>
      <c r="G113" s="11"/>
      <c r="H113" s="11"/>
      <c r="I113" s="11"/>
      <c r="J113" s="40"/>
      <c r="K113" s="11"/>
    </row>
    <row r="114" spans="1:11" ht="12.75" customHeight="1" x14ac:dyDescent="0.25">
      <c r="A114" s="40"/>
      <c r="B114" s="39"/>
      <c r="C114" s="11"/>
      <c r="D114" s="11"/>
      <c r="E114" s="11"/>
      <c r="F114" s="11"/>
      <c r="G114" s="11"/>
      <c r="H114" s="11"/>
      <c r="I114" s="11"/>
      <c r="J114" s="40"/>
      <c r="K114" s="11"/>
    </row>
    <row r="115" spans="1:11" ht="19.5" customHeight="1" x14ac:dyDescent="0.25">
      <c r="A115" s="214" t="s">
        <v>128</v>
      </c>
      <c r="B115" s="214"/>
      <c r="C115" s="214"/>
      <c r="D115" s="214"/>
      <c r="E115" s="214"/>
      <c r="F115" s="214"/>
      <c r="G115" s="214"/>
      <c r="H115" s="214"/>
      <c r="I115" s="214"/>
      <c r="J115" s="40"/>
      <c r="K115" s="11"/>
    </row>
    <row r="116" spans="1:11" ht="16.5" customHeight="1" x14ac:dyDescent="0.25">
      <c r="A116" s="230" t="s">
        <v>208</v>
      </c>
      <c r="B116" s="230"/>
      <c r="C116" s="230"/>
      <c r="D116" s="230"/>
      <c r="E116" s="230"/>
      <c r="F116" s="230"/>
      <c r="G116" s="230"/>
      <c r="H116" s="230"/>
      <c r="I116" s="230"/>
      <c r="J116" s="12"/>
    </row>
    <row r="117" spans="1:11" ht="12.75" customHeight="1" x14ac:dyDescent="0.25">
      <c r="A117" s="234" t="s">
        <v>148</v>
      </c>
      <c r="B117" s="234"/>
      <c r="C117" s="234"/>
      <c r="D117" s="234"/>
      <c r="E117" s="234"/>
      <c r="F117" s="234"/>
      <c r="G117" s="234"/>
      <c r="H117" s="234"/>
      <c r="I117" s="234"/>
      <c r="J117" s="12"/>
    </row>
    <row r="118" spans="1:11" ht="12.75" customHeight="1" x14ac:dyDescent="0.25">
      <c r="A118" s="234"/>
      <c r="B118" s="234"/>
      <c r="C118" s="234"/>
      <c r="D118" s="234"/>
      <c r="E118" s="234"/>
      <c r="F118" s="234"/>
      <c r="G118" s="234"/>
      <c r="H118" s="234"/>
      <c r="I118" s="234"/>
      <c r="K118" s="26"/>
    </row>
    <row r="119" spans="1:11" ht="12.75" customHeight="1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</row>
    <row r="120" spans="1:11" x14ac:dyDescent="0.25">
      <c r="A120" s="234"/>
      <c r="B120" s="234"/>
      <c r="C120" s="234"/>
      <c r="D120" s="234"/>
      <c r="E120" s="234"/>
      <c r="F120" s="234"/>
      <c r="G120" s="234"/>
      <c r="H120" s="234"/>
      <c r="I120" s="234"/>
    </row>
    <row r="121" spans="1:11" x14ac:dyDescent="0.25">
      <c r="A121" s="234"/>
      <c r="B121" s="234"/>
      <c r="C121" s="234"/>
      <c r="D121" s="234"/>
      <c r="E121" s="234"/>
      <c r="F121" s="234"/>
      <c r="G121" s="234"/>
      <c r="H121" s="234"/>
      <c r="I121" s="234"/>
    </row>
    <row r="122" spans="1:11" x14ac:dyDescent="0.25">
      <c r="A122" s="232" t="s">
        <v>49</v>
      </c>
      <c r="B122" s="232"/>
      <c r="C122" s="232"/>
      <c r="D122" s="232"/>
      <c r="E122" s="232"/>
      <c r="F122" s="232"/>
      <c r="G122" s="232"/>
      <c r="H122" s="232"/>
      <c r="I122" s="232"/>
    </row>
    <row r="123" spans="1:11" ht="12.75" customHeight="1" x14ac:dyDescent="0.25">
      <c r="A123" s="232"/>
      <c r="B123" s="232"/>
      <c r="C123" s="232"/>
      <c r="D123" s="232"/>
      <c r="E123" s="232"/>
      <c r="F123" s="232"/>
      <c r="G123" s="232"/>
      <c r="H123" s="232"/>
      <c r="I123" s="232"/>
    </row>
    <row r="124" spans="1:11" ht="12.75" customHeight="1" x14ac:dyDescent="0.25">
      <c r="A124" s="232" t="s">
        <v>149</v>
      </c>
      <c r="B124" s="232"/>
      <c r="C124" s="232"/>
      <c r="D124" s="232"/>
      <c r="E124" s="232"/>
      <c r="F124" s="232"/>
      <c r="G124" s="232"/>
      <c r="H124" s="232"/>
      <c r="I124" s="232"/>
    </row>
    <row r="125" spans="1:11" ht="12.75" customHeight="1" x14ac:dyDescent="0.25">
      <c r="A125" s="232"/>
      <c r="B125" s="232"/>
      <c r="C125" s="232"/>
      <c r="D125" s="232"/>
      <c r="E125" s="232"/>
      <c r="F125" s="232"/>
      <c r="G125" s="232"/>
      <c r="H125" s="232"/>
      <c r="I125" s="232"/>
    </row>
    <row r="126" spans="1:11" ht="12.75" customHeight="1" x14ac:dyDescent="0.25">
      <c r="A126" s="232"/>
      <c r="B126" s="232"/>
      <c r="C126" s="232"/>
      <c r="D126" s="232"/>
      <c r="E126" s="232"/>
      <c r="F126" s="232"/>
      <c r="G126" s="232"/>
      <c r="H126" s="232"/>
      <c r="I126" s="232"/>
    </row>
    <row r="127" spans="1:11" ht="12.75" customHeight="1" x14ac:dyDescent="0.25">
      <c r="A127" s="234" t="s">
        <v>130</v>
      </c>
      <c r="B127" s="234"/>
      <c r="C127" s="234"/>
      <c r="D127" s="234"/>
      <c r="E127" s="234"/>
      <c r="F127" s="234"/>
      <c r="G127" s="234"/>
      <c r="H127" s="234"/>
      <c r="I127" s="234"/>
    </row>
    <row r="128" spans="1:11" ht="12.75" customHeight="1" x14ac:dyDescent="0.25">
      <c r="A128" s="234"/>
      <c r="B128" s="234"/>
      <c r="C128" s="234"/>
      <c r="D128" s="234"/>
      <c r="E128" s="234"/>
      <c r="F128" s="234"/>
      <c r="G128" s="234"/>
      <c r="H128" s="234"/>
      <c r="I128" s="234"/>
    </row>
    <row r="129" spans="1:9" ht="12.75" customHeight="1" x14ac:dyDescent="0.25">
      <c r="A129" s="233" t="s">
        <v>52</v>
      </c>
      <c r="B129" s="233"/>
      <c r="C129" s="233"/>
      <c r="D129" s="233"/>
      <c r="E129" s="233"/>
      <c r="F129" s="233"/>
      <c r="G129" s="233"/>
      <c r="H129" s="233"/>
      <c r="I129" s="233"/>
    </row>
    <row r="130" spans="1:9" ht="12.75" customHeight="1" x14ac:dyDescent="0.25">
      <c r="A130" s="233"/>
      <c r="B130" s="233"/>
      <c r="C130" s="233"/>
      <c r="D130" s="233"/>
      <c r="E130" s="233"/>
      <c r="F130" s="233"/>
      <c r="G130" s="233"/>
      <c r="H130" s="233"/>
      <c r="I130" s="233"/>
    </row>
    <row r="131" spans="1:9" x14ac:dyDescent="0.25">
      <c r="A131" s="233"/>
      <c r="B131" s="233"/>
      <c r="C131" s="233"/>
      <c r="D131" s="233"/>
      <c r="E131" s="233"/>
      <c r="F131" s="233"/>
      <c r="G131" s="233"/>
      <c r="H131" s="233"/>
      <c r="I131" s="233"/>
    </row>
    <row r="132" spans="1:9" x14ac:dyDescent="0.25">
      <c r="A132" s="233"/>
      <c r="B132" s="233"/>
      <c r="C132" s="233"/>
      <c r="D132" s="233"/>
      <c r="E132" s="233"/>
      <c r="F132" s="233"/>
      <c r="G132" s="233"/>
      <c r="H132" s="233"/>
      <c r="I132" s="233"/>
    </row>
    <row r="133" spans="1:9" x14ac:dyDescent="0.25">
      <c r="A133" s="233"/>
      <c r="B133" s="233"/>
      <c r="C133" s="233"/>
      <c r="D133" s="233"/>
      <c r="E133" s="233"/>
      <c r="F133" s="233"/>
      <c r="G133" s="233"/>
      <c r="H133" s="233"/>
      <c r="I133" s="233"/>
    </row>
    <row r="134" spans="1:9" x14ac:dyDescent="0.25">
      <c r="A134" s="233"/>
      <c r="B134" s="233"/>
      <c r="C134" s="233"/>
      <c r="D134" s="233"/>
      <c r="E134" s="233"/>
      <c r="F134" s="233"/>
      <c r="G134" s="233"/>
      <c r="H134" s="233"/>
      <c r="I134" s="233"/>
    </row>
    <row r="135" spans="1:9" x14ac:dyDescent="0.25">
      <c r="A135" s="233"/>
      <c r="B135" s="233"/>
      <c r="C135" s="233"/>
      <c r="D135" s="233"/>
      <c r="E135" s="233"/>
      <c r="F135" s="233"/>
      <c r="G135" s="233"/>
      <c r="H135" s="233"/>
      <c r="I135" s="233"/>
    </row>
    <row r="136" spans="1:9" x14ac:dyDescent="0.25">
      <c r="A136" s="233"/>
      <c r="B136" s="233"/>
      <c r="C136" s="233"/>
      <c r="D136" s="233"/>
      <c r="E136" s="233"/>
      <c r="F136" s="233"/>
      <c r="G136" s="233"/>
      <c r="H136" s="233"/>
      <c r="I136" s="233"/>
    </row>
    <row r="137" spans="1:9" x14ac:dyDescent="0.25">
      <c r="A137" s="233"/>
      <c r="B137" s="233"/>
      <c r="C137" s="233"/>
      <c r="D137" s="233"/>
      <c r="E137" s="233"/>
      <c r="F137" s="233"/>
      <c r="G137" s="233"/>
      <c r="H137" s="233"/>
      <c r="I137" s="233"/>
    </row>
    <row r="138" spans="1:9" x14ac:dyDescent="0.25">
      <c r="A138" s="233"/>
      <c r="B138" s="233"/>
      <c r="C138" s="233"/>
      <c r="D138" s="233"/>
      <c r="E138" s="233"/>
      <c r="F138" s="233"/>
      <c r="G138" s="233"/>
      <c r="H138" s="233"/>
      <c r="I138" s="233"/>
    </row>
    <row r="139" spans="1:9" x14ac:dyDescent="0.25">
      <c r="A139" s="233"/>
      <c r="B139" s="233"/>
      <c r="C139" s="233"/>
      <c r="D139" s="233"/>
      <c r="E139" s="233"/>
      <c r="F139" s="233"/>
      <c r="G139" s="233"/>
      <c r="H139" s="233"/>
      <c r="I139" s="233"/>
    </row>
    <row r="140" spans="1:9" x14ac:dyDescent="0.25">
      <c r="A140" s="233"/>
      <c r="B140" s="233"/>
      <c r="C140" s="233"/>
      <c r="D140" s="233"/>
      <c r="E140" s="233"/>
      <c r="F140" s="233"/>
      <c r="G140" s="233"/>
      <c r="H140" s="233"/>
      <c r="I140" s="233"/>
    </row>
    <row r="141" spans="1:9" x14ac:dyDescent="0.25">
      <c r="A141" s="233"/>
      <c r="B141" s="233"/>
      <c r="C141" s="233"/>
      <c r="D141" s="233"/>
      <c r="E141" s="233"/>
      <c r="F141" s="233"/>
      <c r="G141" s="233"/>
      <c r="H141" s="233"/>
      <c r="I141" s="233"/>
    </row>
    <row r="142" spans="1:9" x14ac:dyDescent="0.25">
      <c r="A142" s="233"/>
      <c r="B142" s="233"/>
      <c r="C142" s="233"/>
      <c r="D142" s="233"/>
      <c r="E142" s="233"/>
      <c r="F142" s="233"/>
      <c r="G142" s="233"/>
      <c r="H142" s="233"/>
      <c r="I142" s="233"/>
    </row>
    <row r="143" spans="1:9" x14ac:dyDescent="0.25">
      <c r="A143" s="233"/>
      <c r="B143" s="233"/>
      <c r="C143" s="233"/>
      <c r="D143" s="233"/>
      <c r="E143" s="233"/>
      <c r="F143" s="233"/>
      <c r="G143" s="233"/>
      <c r="H143" s="233"/>
      <c r="I143" s="233"/>
    </row>
    <row r="144" spans="1:9" x14ac:dyDescent="0.25">
      <c r="A144" s="233"/>
      <c r="B144" s="233"/>
      <c r="C144" s="233"/>
      <c r="D144" s="233"/>
      <c r="E144" s="233"/>
      <c r="F144" s="233"/>
      <c r="G144" s="233"/>
      <c r="H144" s="233"/>
      <c r="I144" s="233"/>
    </row>
    <row r="145" spans="1:11" s="3" customFormat="1" x14ac:dyDescent="0.25">
      <c r="A145" s="233"/>
      <c r="B145" s="233"/>
      <c r="C145" s="233"/>
      <c r="D145" s="233"/>
      <c r="E145" s="233"/>
      <c r="F145" s="233"/>
      <c r="G145" s="233"/>
      <c r="H145" s="233"/>
      <c r="I145" s="233"/>
      <c r="J145" s="29"/>
      <c r="K145" s="29"/>
    </row>
    <row r="146" spans="1:11" s="3" customFormat="1" x14ac:dyDescent="0.25">
      <c r="A146" s="233"/>
      <c r="B146" s="233"/>
      <c r="C146" s="233"/>
      <c r="D146" s="233"/>
      <c r="E146" s="233"/>
      <c r="F146" s="233"/>
      <c r="G146" s="233"/>
      <c r="H146" s="233"/>
      <c r="I146" s="233"/>
      <c r="J146" s="29"/>
      <c r="K146" s="29"/>
    </row>
    <row r="147" spans="1:11" x14ac:dyDescent="0.25">
      <c r="A147" s="233"/>
      <c r="B147" s="233"/>
      <c r="C147" s="233"/>
      <c r="D147" s="233"/>
      <c r="E147" s="233"/>
      <c r="F147" s="233"/>
      <c r="G147" s="233"/>
      <c r="H147" s="233"/>
      <c r="I147" s="233"/>
    </row>
    <row r="148" spans="1:11" s="3" customFormat="1" x14ac:dyDescent="0.25">
      <c r="A148" s="233"/>
      <c r="B148" s="233"/>
      <c r="C148" s="233"/>
      <c r="D148" s="233"/>
      <c r="E148" s="233"/>
      <c r="F148" s="233"/>
      <c r="G148" s="233"/>
      <c r="H148" s="233"/>
      <c r="I148" s="233"/>
      <c r="J148" s="29"/>
      <c r="K148" s="29"/>
    </row>
    <row r="149" spans="1:11" s="3" customFormat="1" x14ac:dyDescent="0.25">
      <c r="A149" s="31"/>
      <c r="B149" s="30"/>
      <c r="C149" s="30"/>
      <c r="D149" s="29"/>
      <c r="E149" s="29"/>
      <c r="F149" s="29"/>
      <c r="G149" s="29"/>
      <c r="H149" s="32"/>
      <c r="I149" s="29"/>
      <c r="J149" s="29"/>
      <c r="K149" s="29"/>
    </row>
    <row r="150" spans="1:11" s="3" customFormat="1" x14ac:dyDescent="0.25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x14ac:dyDescent="0.25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x14ac:dyDescent="0.25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x14ac:dyDescent="0.25"/>
    <row r="154" spans="1:11" s="3" customFormat="1" x14ac:dyDescent="0.25"/>
    <row r="155" spans="1:11" s="3" customFormat="1" x14ac:dyDescent="0.25"/>
    <row r="156" spans="1:11" s="3" customFormat="1" x14ac:dyDescent="0.25"/>
  </sheetData>
  <sheetProtection selectLockedCells="1" selectUnlockedCells="1"/>
  <mergeCells count="66">
    <mergeCell ref="B19:I19"/>
    <mergeCell ref="B16:C16"/>
    <mergeCell ref="D16:E16"/>
    <mergeCell ref="F16:G16"/>
    <mergeCell ref="H16:I16"/>
    <mergeCell ref="A18:I18"/>
    <mergeCell ref="B17:C17"/>
    <mergeCell ref="D17:E17"/>
    <mergeCell ref="F17:G17"/>
    <mergeCell ref="H17:I17"/>
    <mergeCell ref="A124:I126"/>
    <mergeCell ref="A129:I148"/>
    <mergeCell ref="A117:I121"/>
    <mergeCell ref="A127:I128"/>
    <mergeCell ref="A122:I123"/>
    <mergeCell ref="A4:A5"/>
    <mergeCell ref="B4:I4"/>
    <mergeCell ref="B5:C5"/>
    <mergeCell ref="D5:E5"/>
    <mergeCell ref="F5:G5"/>
    <mergeCell ref="H5:I5"/>
    <mergeCell ref="B8:C8"/>
    <mergeCell ref="D8:E8"/>
    <mergeCell ref="F8:G8"/>
    <mergeCell ref="H8:I8"/>
    <mergeCell ref="B9:C9"/>
    <mergeCell ref="D9:E9"/>
    <mergeCell ref="F9:G9"/>
    <mergeCell ref="H9:I9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A115:I115"/>
    <mergeCell ref="A116:I116"/>
    <mergeCell ref="A20:A21"/>
    <mergeCell ref="B20:C20"/>
    <mergeCell ref="D20:E20"/>
    <mergeCell ref="F20:G20"/>
    <mergeCell ref="H20:I20"/>
    <mergeCell ref="B47:C47"/>
    <mergeCell ref="D47:E47"/>
    <mergeCell ref="F47:G47"/>
    <mergeCell ref="H47:I47"/>
    <mergeCell ref="B6:I6"/>
    <mergeCell ref="B7:I7"/>
    <mergeCell ref="B14:C14"/>
    <mergeCell ref="D14:E14"/>
    <mergeCell ref="F14:G14"/>
    <mergeCell ref="H14:I14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</mergeCells>
  <conditionalFormatting sqref="B7:I7">
    <cfRule type="expression" dxfId="1" priority="2">
      <formula>AND($B$6="ламель 125",$B$7="больше (50-80мм в зависимости от высоты забора)")</formula>
    </cfRule>
  </conditionalFormatting>
  <dataValidations count="12">
    <dataValidation type="decimal" operator="lessThanOrEqual" allowBlank="1" showInputMessage="1" showErrorMessage="1" sqref="H9 B9 D9 F9" xr:uid="{00000000-0002-0000-0200-000002000000}">
      <formula1>3</formula1>
    </dataValidation>
    <dataValidation type="list" allowBlank="1" showInputMessage="1" showErrorMessage="1" sqref="B13 D13 F13 H13" xr:uid="{00000000-0002-0000-0200-000003000000}">
      <formula1>"да, нет"</formula1>
    </dataValidation>
    <dataValidation type="list" allowBlank="1" showInputMessage="1" showErrorMessage="1" sqref="B6:I6" xr:uid="{00000000-0002-0000-0200-000004000000}">
      <formula1>CCCMT</formula1>
    </dataValidation>
    <dataValidation type="list" allowBlank="1" showInputMessage="1" showErrorMessage="1" sqref="B7:I7" xr:uid="{00000000-0002-0000-0200-000005000000}">
      <formula1>INDIRECT($B$6)</formula1>
    </dataValidation>
    <dataValidation type="list" allowBlank="1" showInputMessage="1" showErrorMessage="1" sqref="B14:I14" xr:uid="{00000000-0002-0000-0200-00000A000000}">
      <formula1>RRWVS</formula1>
    </dataValidation>
    <dataValidation type="list" allowBlank="1" showInputMessage="1" showErrorMessage="1" sqref="B15:I15" xr:uid="{00000000-0002-0000-0200-00000B000000}">
      <formula1>VNVOX</formula1>
    </dataValidation>
    <dataValidation type="list" allowBlank="1" showInputMessage="1" showErrorMessage="1" sqref="B16:C16" xr:uid="{00000000-0002-0000-0200-00000C000000}">
      <formula1>BTYPS</formula1>
    </dataValidation>
    <dataValidation type="list" allowBlank="1" showInputMessage="1" showErrorMessage="1" sqref="D16:E16" xr:uid="{00000000-0002-0000-0200-00000D000000}">
      <formula1>MUGNQ</formula1>
    </dataValidation>
    <dataValidation type="list" allowBlank="1" showInputMessage="1" showErrorMessage="1" sqref="F16:G16" xr:uid="{00000000-0002-0000-0200-00000E000000}">
      <formula1>IANCJ</formula1>
    </dataValidation>
    <dataValidation type="list" allowBlank="1" showInputMessage="1" showErrorMessage="1" sqref="H16:I16" xr:uid="{00000000-0002-0000-0200-00000F000000}">
      <formula1>CEXUI</formula1>
    </dataValidation>
    <dataValidation type="list" allowBlank="1" showInputMessage="1" showErrorMessage="1" sqref="B17:I17" xr:uid="{B3BC6368-C307-46AB-806C-95BA8E53DE42}">
      <formula1>TexType</formula1>
    </dataValidation>
    <dataValidation type="list" allowBlank="1" showInputMessage="1" showErrorMessage="1" sqref="B8:I8" xr:uid="{00000000-0002-0000-0200-000006000000}">
      <formula1>Drop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fitToHeight="2" orientation="portrait" horizontalDpi="300" verticalDpi="300" r:id="rId1"/>
  <headerFooter scaleWithDoc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G190"/>
  <sheetViews>
    <sheetView showGridLines="0" zoomScale="85" zoomScaleNormal="85" zoomScaleSheetLayoutView="50" zoomScalePageLayoutView="55" workbookViewId="0">
      <pane ySplit="14" topLeftCell="A15" activePane="bottomLeft" state="frozen"/>
      <selection activeCell="P47" sqref="P47"/>
      <selection pane="bottomLeft"/>
    </sheetView>
  </sheetViews>
  <sheetFormatPr defaultColWidth="0" defaultRowHeight="13.2" x14ac:dyDescent="0.25"/>
  <cols>
    <col min="1" max="1" width="55.6640625" style="2" customWidth="1"/>
    <col min="2" max="2" width="14" style="2" customWidth="1"/>
    <col min="3" max="3" width="13.109375" style="2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25.33203125" style="2" customWidth="1"/>
    <col min="11" max="11" width="15.44140625" style="2" hidden="1" customWidth="1"/>
    <col min="12" max="12" width="9" style="2" hidden="1" customWidth="1"/>
    <col min="13" max="13" width="13.88671875" style="2" hidden="1" customWidth="1"/>
    <col min="14" max="14" width="10.88671875" style="2" hidden="1" customWidth="1"/>
    <col min="15" max="33" width="0" style="2" hidden="1" customWidth="1"/>
    <col min="34" max="16384" width="9.109375" style="2" hidden="1"/>
  </cols>
  <sheetData>
    <row r="1" spans="1:11" x14ac:dyDescent="0.25">
      <c r="A1" s="121">
        <v>45812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3">
      <c r="A2" s="101" t="s">
        <v>164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01" t="s">
        <v>165</v>
      </c>
      <c r="B4" s="202" t="s">
        <v>30</v>
      </c>
      <c r="C4" s="202"/>
      <c r="D4" s="202"/>
      <c r="E4" s="202"/>
      <c r="F4" s="202"/>
      <c r="G4" s="202"/>
      <c r="H4" s="202"/>
      <c r="I4" s="202"/>
      <c r="J4" s="9"/>
      <c r="K4" s="9"/>
    </row>
    <row r="5" spans="1:11" ht="16.5" customHeight="1" x14ac:dyDescent="0.25">
      <c r="A5" s="201"/>
      <c r="B5" s="203" t="s">
        <v>32</v>
      </c>
      <c r="C5" s="203"/>
      <c r="D5" s="203" t="s">
        <v>33</v>
      </c>
      <c r="E5" s="203"/>
      <c r="F5" s="203" t="s">
        <v>34</v>
      </c>
      <c r="G5" s="203"/>
      <c r="H5" s="203" t="s">
        <v>35</v>
      </c>
      <c r="I5" s="203"/>
      <c r="J5" s="9"/>
      <c r="K5" s="9"/>
    </row>
    <row r="6" spans="1:11" ht="17.25" customHeight="1" x14ac:dyDescent="0.25">
      <c r="A6" s="66" t="s">
        <v>121</v>
      </c>
      <c r="B6" s="200">
        <v>0</v>
      </c>
      <c r="C6" s="200"/>
      <c r="D6" s="204">
        <v>0</v>
      </c>
      <c r="E6" s="205"/>
      <c r="F6" s="204">
        <v>0</v>
      </c>
      <c r="G6" s="205"/>
      <c r="H6" s="204">
        <v>0</v>
      </c>
      <c r="I6" s="205"/>
      <c r="J6" s="6" t="s">
        <v>123</v>
      </c>
      <c r="K6" s="9"/>
    </row>
    <row r="7" spans="1:11" ht="17.25" customHeight="1" x14ac:dyDescent="0.25">
      <c r="A7" s="66" t="s">
        <v>335</v>
      </c>
      <c r="B7" s="200">
        <v>0</v>
      </c>
      <c r="C7" s="200"/>
      <c r="D7" s="200">
        <v>0</v>
      </c>
      <c r="E7" s="200"/>
      <c r="F7" s="200">
        <v>0</v>
      </c>
      <c r="G7" s="200"/>
      <c r="H7" s="200">
        <v>0</v>
      </c>
      <c r="I7" s="200"/>
      <c r="J7" s="6" t="s">
        <v>124</v>
      </c>
      <c r="K7" s="9"/>
    </row>
    <row r="8" spans="1:11" ht="17.25" customHeight="1" x14ac:dyDescent="0.25">
      <c r="A8" s="66" t="s">
        <v>39</v>
      </c>
      <c r="B8" s="200">
        <v>0</v>
      </c>
      <c r="C8" s="200"/>
      <c r="D8" s="200">
        <v>0</v>
      </c>
      <c r="E8" s="200"/>
      <c r="F8" s="200">
        <v>0</v>
      </c>
      <c r="G8" s="200"/>
      <c r="H8" s="200">
        <v>0</v>
      </c>
      <c r="I8" s="200"/>
      <c r="J8" s="6" t="s">
        <v>125</v>
      </c>
      <c r="K8" s="9"/>
    </row>
    <row r="9" spans="1:11" ht="17.25" customHeight="1" x14ac:dyDescent="0.25">
      <c r="A9" s="67" t="s">
        <v>40</v>
      </c>
      <c r="B9" s="200">
        <v>0</v>
      </c>
      <c r="C9" s="200"/>
      <c r="D9" s="200">
        <v>0</v>
      </c>
      <c r="E9" s="200"/>
      <c r="F9" s="200">
        <v>0</v>
      </c>
      <c r="G9" s="200"/>
      <c r="H9" s="200">
        <v>0</v>
      </c>
      <c r="I9" s="200"/>
      <c r="J9" s="6" t="s">
        <v>125</v>
      </c>
      <c r="K9" s="9"/>
    </row>
    <row r="10" spans="1:11" ht="17.25" customHeight="1" x14ac:dyDescent="0.25">
      <c r="A10" s="67" t="s">
        <v>177</v>
      </c>
      <c r="B10" s="200">
        <v>0</v>
      </c>
      <c r="C10" s="200"/>
      <c r="D10" s="200">
        <v>0</v>
      </c>
      <c r="E10" s="200"/>
      <c r="F10" s="200">
        <v>0</v>
      </c>
      <c r="G10" s="200"/>
      <c r="H10" s="200">
        <v>0</v>
      </c>
      <c r="I10" s="200"/>
      <c r="J10" s="6" t="s">
        <v>125</v>
      </c>
      <c r="K10" s="9"/>
    </row>
    <row r="11" spans="1:11" ht="17.25" customHeight="1" x14ac:dyDescent="0.25">
      <c r="A11" s="66" t="s">
        <v>43</v>
      </c>
      <c r="B11" s="200" t="s">
        <v>44</v>
      </c>
      <c r="C11" s="200"/>
      <c r="D11" s="200" t="s">
        <v>44</v>
      </c>
      <c r="E11" s="200"/>
      <c r="F11" s="200" t="s">
        <v>44</v>
      </c>
      <c r="G11" s="200"/>
      <c r="H11" s="200" t="s">
        <v>44</v>
      </c>
      <c r="I11" s="200"/>
      <c r="J11" s="6" t="s">
        <v>123</v>
      </c>
      <c r="K11" s="9"/>
    </row>
    <row r="12" spans="1:11" ht="17.25" customHeight="1" x14ac:dyDescent="0.25">
      <c r="A12" s="66" t="s">
        <v>166</v>
      </c>
      <c r="B12" s="204" t="s">
        <v>44</v>
      </c>
      <c r="C12" s="205"/>
      <c r="D12" s="204" t="s">
        <v>44</v>
      </c>
      <c r="E12" s="205"/>
      <c r="F12" s="204" t="s">
        <v>44</v>
      </c>
      <c r="G12" s="205"/>
      <c r="H12" s="204" t="s">
        <v>44</v>
      </c>
      <c r="I12" s="205"/>
      <c r="J12" s="6" t="s">
        <v>123</v>
      </c>
      <c r="K12" s="9"/>
    </row>
    <row r="13" spans="1:11" ht="29.25" customHeight="1" x14ac:dyDescent="0.25">
      <c r="A13" s="66" t="s">
        <v>167</v>
      </c>
      <c r="B13" s="210" t="s">
        <v>44</v>
      </c>
      <c r="C13" s="211"/>
      <c r="D13" s="210" t="s">
        <v>44</v>
      </c>
      <c r="E13" s="211"/>
      <c r="F13" s="210" t="s">
        <v>44</v>
      </c>
      <c r="G13" s="211"/>
      <c r="H13" s="210" t="s">
        <v>44</v>
      </c>
      <c r="I13" s="211"/>
      <c r="J13" s="6" t="s">
        <v>123</v>
      </c>
      <c r="K13" s="9"/>
    </row>
    <row r="14" spans="1:11" ht="17.25" customHeight="1" x14ac:dyDescent="0.25">
      <c r="A14" s="66" t="s">
        <v>155</v>
      </c>
      <c r="B14" s="210" t="s">
        <v>10</v>
      </c>
      <c r="C14" s="211"/>
      <c r="D14" s="210" t="s">
        <v>10</v>
      </c>
      <c r="E14" s="211"/>
      <c r="F14" s="210" t="s">
        <v>10</v>
      </c>
      <c r="G14" s="211"/>
      <c r="H14" s="210" t="s">
        <v>10</v>
      </c>
      <c r="I14" s="211"/>
      <c r="J14" s="6" t="s">
        <v>123</v>
      </c>
      <c r="K14" s="9"/>
    </row>
    <row r="15" spans="1:11" ht="45.75" customHeight="1" x14ac:dyDescent="0.25">
      <c r="A15" s="122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B15" s="213" t="s">
        <v>383</v>
      </c>
      <c r="C15" s="213"/>
      <c r="D15" s="213"/>
      <c r="E15" s="213"/>
      <c r="F15" s="213"/>
      <c r="G15" s="213"/>
      <c r="H15" s="213"/>
      <c r="I15" s="213"/>
      <c r="J15" s="9"/>
      <c r="K15" s="9"/>
    </row>
    <row r="16" spans="1:11" ht="16.5" customHeight="1" x14ac:dyDescent="0.25">
      <c r="A16" s="202" t="s">
        <v>168</v>
      </c>
      <c r="B16" s="222" t="s">
        <v>0</v>
      </c>
      <c r="C16" s="223"/>
      <c r="D16" s="223" t="s">
        <v>1</v>
      </c>
      <c r="E16" s="223"/>
      <c r="F16" s="223" t="s">
        <v>2</v>
      </c>
      <c r="G16" s="223"/>
      <c r="H16" s="223" t="s">
        <v>3</v>
      </c>
      <c r="I16" s="224"/>
      <c r="K16" s="9"/>
    </row>
    <row r="17" spans="1:11" ht="16.5" customHeight="1" x14ac:dyDescent="0.25">
      <c r="A17" s="202"/>
      <c r="B17" s="68" t="s">
        <v>6</v>
      </c>
      <c r="C17" s="69" t="s">
        <v>7</v>
      </c>
      <c r="D17" s="70" t="s">
        <v>6</v>
      </c>
      <c r="E17" s="69" t="s">
        <v>7</v>
      </c>
      <c r="F17" s="70" t="s">
        <v>6</v>
      </c>
      <c r="G17" s="69" t="s">
        <v>7</v>
      </c>
      <c r="H17" s="70" t="s">
        <v>6</v>
      </c>
      <c r="I17" s="68" t="s">
        <v>7</v>
      </c>
      <c r="K17" s="9"/>
    </row>
    <row r="18" spans="1:11" ht="16.5" customHeight="1" x14ac:dyDescent="0.25">
      <c r="A18" s="71" t="s">
        <v>82</v>
      </c>
      <c r="B18" s="71"/>
      <c r="C18" s="72"/>
      <c r="D18" s="73"/>
      <c r="E18" s="74"/>
      <c r="F18" s="73"/>
      <c r="G18" s="74"/>
      <c r="H18" s="73"/>
      <c r="I18" s="75"/>
      <c r="K18" s="9"/>
    </row>
    <row r="19" spans="1:11" ht="16.5" customHeight="1" x14ac:dyDescent="0.25">
      <c r="A19" s="44" t="s">
        <v>158</v>
      </c>
      <c r="B19" s="51">
        <f>IF(B7=0,0,B7)</f>
        <v>0</v>
      </c>
      <c r="C19" s="52">
        <f>IF(B19=0,0,VLOOKUP(B6,Данные1!$A$184:$B$210,2,FALSE)*B8)</f>
        <v>0</v>
      </c>
      <c r="D19" s="53">
        <f>IF(D7=0,0,D7)</f>
        <v>0</v>
      </c>
      <c r="E19" s="52">
        <f>IF(D19=0,0,VLOOKUP(D6,Данные1!$A$184:$B$210,2,FALSE)*D8)</f>
        <v>0</v>
      </c>
      <c r="F19" s="53">
        <f>IF(F7=0,0,F7)</f>
        <v>0</v>
      </c>
      <c r="G19" s="52">
        <f>IF(F19=0,0,VLOOKUP(F6,Данные1!$A$184:$B$210,2,FALSE)*F8)</f>
        <v>0</v>
      </c>
      <c r="H19" s="53">
        <f>IF(H7=0,0,H7)</f>
        <v>0</v>
      </c>
      <c r="I19" s="54">
        <f>IF(H19=0,0,VLOOKUP(H6,Данные1!$A$184:$B$210,2,FALSE)*H8)</f>
        <v>0</v>
      </c>
      <c r="K19" s="9"/>
    </row>
    <row r="20" spans="1:11" ht="16.5" customHeight="1" x14ac:dyDescent="0.25">
      <c r="A20" s="44" t="s">
        <v>178</v>
      </c>
      <c r="B20" s="51">
        <f>IF(B6=0,0,B6)</f>
        <v>0</v>
      </c>
      <c r="C20" s="52">
        <f>IF(B20=0,0,2*B8)</f>
        <v>0</v>
      </c>
      <c r="D20" s="51">
        <f>IF(D6=0,0,D6)</f>
        <v>0</v>
      </c>
      <c r="E20" s="52">
        <f>IF(D20=0,0,2*D8)</f>
        <v>0</v>
      </c>
      <c r="F20" s="51">
        <f>IF(F6=0,0,F6)</f>
        <v>0</v>
      </c>
      <c r="G20" s="52">
        <f>IF(F20=0,0,2*F8)</f>
        <v>0</v>
      </c>
      <c r="H20" s="51">
        <f>IF(H6=0,0,H6)</f>
        <v>0</v>
      </c>
      <c r="I20" s="54">
        <f>IF(H20=0,0,2*H8)</f>
        <v>0</v>
      </c>
      <c r="K20" s="9"/>
    </row>
    <row r="21" spans="1:11" ht="16.5" customHeight="1" x14ac:dyDescent="0.25">
      <c r="A21" s="44" t="s">
        <v>160</v>
      </c>
      <c r="B21" s="51">
        <f>IF(B7=0,0,B7)</f>
        <v>0</v>
      </c>
      <c r="C21" s="52">
        <f>IF(B21=0,0,2*B8)</f>
        <v>0</v>
      </c>
      <c r="D21" s="51">
        <f>IF(D7=0,0,D7)</f>
        <v>0</v>
      </c>
      <c r="E21" s="52">
        <f>IF(D21=0,0,2*D8)</f>
        <v>0</v>
      </c>
      <c r="F21" s="51">
        <f>IF(F7=0,0,F7)</f>
        <v>0</v>
      </c>
      <c r="G21" s="52">
        <f>IF(F21=0,0,2*F8)</f>
        <v>0</v>
      </c>
      <c r="H21" s="51">
        <f>IF(H7=0,0,H7)</f>
        <v>0</v>
      </c>
      <c r="I21" s="54">
        <f>IF(H21=0,0,2*H8)</f>
        <v>0</v>
      </c>
      <c r="K21" s="9"/>
    </row>
    <row r="22" spans="1:11" ht="16.5" customHeight="1" x14ac:dyDescent="0.25">
      <c r="A22" s="44" t="s">
        <v>161</v>
      </c>
      <c r="B22" s="51">
        <f t="shared" ref="B22:I22" si="0">B21</f>
        <v>0</v>
      </c>
      <c r="C22" s="52">
        <f t="shared" si="0"/>
        <v>0</v>
      </c>
      <c r="D22" s="51">
        <f t="shared" si="0"/>
        <v>0</v>
      </c>
      <c r="E22" s="52">
        <f t="shared" si="0"/>
        <v>0</v>
      </c>
      <c r="F22" s="51">
        <f t="shared" si="0"/>
        <v>0</v>
      </c>
      <c r="G22" s="52">
        <f t="shared" si="0"/>
        <v>0</v>
      </c>
      <c r="H22" s="51">
        <f t="shared" si="0"/>
        <v>0</v>
      </c>
      <c r="I22" s="54">
        <f t="shared" si="0"/>
        <v>0</v>
      </c>
      <c r="K22" s="9"/>
    </row>
    <row r="23" spans="1:11" ht="16.5" customHeight="1" x14ac:dyDescent="0.25">
      <c r="A23" s="44" t="s">
        <v>162</v>
      </c>
      <c r="B23" s="51">
        <f>IF(B6=0,0,B6-0.1)</f>
        <v>0</v>
      </c>
      <c r="C23" s="52">
        <f>IF(B23=0,0,IF(AND(B7&gt;0,OR(B7&lt;1.5,B7=1.5)),3*B8,IF(AND(B7&gt;1.5,OR(B7&lt;2.2,B7=2.2)),4*B8,IF(AND(B7&gt;2.21,OR(B7&lt;3,B7=3)),5*B8,0))))</f>
        <v>0</v>
      </c>
      <c r="D23" s="51">
        <f>IF(D6=0,0,D6-0.1)</f>
        <v>0</v>
      </c>
      <c r="E23" s="52">
        <f>IF(D23=0,0,IF(AND(D7&gt;0,OR(D7&lt;1.5,D7=1.5)),3*D8,IF(AND(D7&gt;1.5,OR(D7&lt;2.2,D7=2.2)),4*D8,IF(AND(D7&gt;2.2,OR(D7&lt;3,D7=3)),5*D8,0))))</f>
        <v>0</v>
      </c>
      <c r="F23" s="51">
        <f>IF(F6=0,0,F6-0.1)</f>
        <v>0</v>
      </c>
      <c r="G23" s="52">
        <f>IF(F23=0,0,IF(AND(F7&gt;0,OR(F7&lt;1.5,F7=1.5)),3*F8,IF(AND(F7&gt;1.5,OR(F7&lt;2.2,F7=2.2)),4*F8,IF(AND(F7&gt;2.2,OR(F7&lt;3,F7=3)),5*F8,0))))</f>
        <v>0</v>
      </c>
      <c r="H23" s="51">
        <f>IF(H6=0,0,H6-0.1)</f>
        <v>0</v>
      </c>
      <c r="I23" s="54">
        <f>IF(H23=0,0,IF(AND(H7&gt;0,OR(H7&lt;1.5,H7=1.5)),3*H8,IF(AND(H7&gt;1.5,OR(H7&lt;2.2,H7=2.2)),4*H8,IF(AND(H7&gt;2.2,OR(H7&lt;3,H7=3)),5*H8,0))))</f>
        <v>0</v>
      </c>
      <c r="K23" s="9"/>
    </row>
    <row r="24" spans="1:11" ht="16.5" customHeight="1" x14ac:dyDescent="0.25">
      <c r="A24" s="44" t="s">
        <v>163</v>
      </c>
      <c r="B24" s="51">
        <f t="shared" ref="B24:I24" si="1">B23</f>
        <v>0</v>
      </c>
      <c r="C24" s="52">
        <f t="shared" si="1"/>
        <v>0</v>
      </c>
      <c r="D24" s="51">
        <f t="shared" si="1"/>
        <v>0</v>
      </c>
      <c r="E24" s="52">
        <f t="shared" si="1"/>
        <v>0</v>
      </c>
      <c r="F24" s="51">
        <f t="shared" si="1"/>
        <v>0</v>
      </c>
      <c r="G24" s="52">
        <f t="shared" si="1"/>
        <v>0</v>
      </c>
      <c r="H24" s="51">
        <f t="shared" si="1"/>
        <v>0</v>
      </c>
      <c r="I24" s="54">
        <f t="shared" si="1"/>
        <v>0</v>
      </c>
      <c r="K24" s="9"/>
    </row>
    <row r="25" spans="1:11" ht="16.5" customHeight="1" x14ac:dyDescent="0.25">
      <c r="A25" s="44" t="s">
        <v>159</v>
      </c>
      <c r="B25" s="51">
        <f>IF(B7=0,0,B7)</f>
        <v>0</v>
      </c>
      <c r="C25" s="52">
        <f>IF(B25=0,0,B8)</f>
        <v>0</v>
      </c>
      <c r="D25" s="51">
        <f>IF(D7=0,0,D7)</f>
        <v>0</v>
      </c>
      <c r="E25" s="52">
        <f>IF(D25=0,0,D8)</f>
        <v>0</v>
      </c>
      <c r="F25" s="51">
        <f>IF(F7=0,0,F7)</f>
        <v>0</v>
      </c>
      <c r="G25" s="52">
        <f>IF(F25=0,0,F8)</f>
        <v>0</v>
      </c>
      <c r="H25" s="51">
        <f>IF(H7=0,0,H7)</f>
        <v>0</v>
      </c>
      <c r="I25" s="54">
        <f>IF(H25=0,0,H8)</f>
        <v>0</v>
      </c>
      <c r="K25" s="9"/>
    </row>
    <row r="26" spans="1:11" ht="16.5" customHeight="1" x14ac:dyDescent="0.25">
      <c r="A26" s="44" t="s">
        <v>4</v>
      </c>
      <c r="B26" s="51">
        <f>IF(AND(B6&gt;0,B11="да"),0,B6)</f>
        <v>0</v>
      </c>
      <c r="C26" s="52">
        <f>IF(B26=0,0,IF(B8=0,0,IF(B8=1,2*2,IF(B10=0,(B8+1)*2-C27,(B8+1+B10)*2-C27))))</f>
        <v>0</v>
      </c>
      <c r="D26" s="53">
        <f>IF(AND(D6&gt;0,D11="да"),0,D6)</f>
        <v>0</v>
      </c>
      <c r="E26" s="52">
        <f>IF(D26=0,0,IF(D8=0,0,IF(D8=1,2*2,IF(D10=0,(D8+1)*2-E27,(D8+1+D10)*2-E27))))</f>
        <v>0</v>
      </c>
      <c r="F26" s="53">
        <f>IF(AND(F6&gt;0,F11="да"),0,F6)</f>
        <v>0</v>
      </c>
      <c r="G26" s="52">
        <f>IF(F26=0,0,IF(F8=0,0,IF(F8=1,2*2,IF(F10=0,(F8+1)*2-G27,(F8+1+F10)*2-G27))))</f>
        <v>0</v>
      </c>
      <c r="H26" s="53">
        <f>IF(AND(H6&gt;0,H11="да"),0,H6)</f>
        <v>0</v>
      </c>
      <c r="I26" s="54">
        <f>IF(H26=0,0,IF(H8=0,0,IF(H8=1,2*2,IF(H10=0,(H8+1)*2-I27,(H8+1+H10)*2-I27))))</f>
        <v>0</v>
      </c>
      <c r="J26" s="86"/>
      <c r="K26" s="9"/>
    </row>
    <row r="27" spans="1:11" ht="16.5" customHeight="1" x14ac:dyDescent="0.25">
      <c r="A27" s="44" t="s">
        <v>8</v>
      </c>
      <c r="B27" s="51">
        <f>IF(OR(AND(B9=0,B10=0),B11="да"),0,B6)</f>
        <v>0</v>
      </c>
      <c r="C27" s="52">
        <f>IF(B27=0,0,B9+B10*2)</f>
        <v>0</v>
      </c>
      <c r="D27" s="53">
        <f>IF(OR(AND(D9=0,D10=0),D11="да"),0,D6)</f>
        <v>0</v>
      </c>
      <c r="E27" s="52">
        <f>IF(D27=0,0,D9+D10*2)</f>
        <v>0</v>
      </c>
      <c r="F27" s="53">
        <f>IF(OR(AND(F9=0,F10=0),F11="да"),0,F6)</f>
        <v>0</v>
      </c>
      <c r="G27" s="52">
        <f>IF(F27=0,0,F9+F10*2)</f>
        <v>0</v>
      </c>
      <c r="H27" s="53">
        <f>IF(OR(AND(H9=0,H10=0),H11="да"),0,H6)</f>
        <v>0</v>
      </c>
      <c r="I27" s="54">
        <f>IF(H27=0,0,H9+H10*2)</f>
        <v>0</v>
      </c>
      <c r="K27" s="9"/>
    </row>
    <row r="28" spans="1:11" ht="16.5" customHeight="1" x14ac:dyDescent="0.25">
      <c r="A28" s="37" t="s">
        <v>156</v>
      </c>
      <c r="B28" s="55" t="s">
        <v>10</v>
      </c>
      <c r="C28" s="52">
        <f>IF(B11="да",0,(IF(B8=0,0,IF(B8=1,2,IF(B10=0,B8+1,B8+1+B10)))))</f>
        <v>0</v>
      </c>
      <c r="D28" s="56" t="s">
        <v>10</v>
      </c>
      <c r="E28" s="52">
        <f>IF(D11="да",0,(IF(D8=0,0,IF(D8=1,2,IF(D10=0,D8+1,D8+1+D10)))))</f>
        <v>0</v>
      </c>
      <c r="F28" s="56" t="s">
        <v>10</v>
      </c>
      <c r="G28" s="52">
        <f>IF(F11="да",0,(IF(F8=0,0,IF(F8=1,2,IF(F10=0,F8+1,F8+1+F10)))))</f>
        <v>0</v>
      </c>
      <c r="H28" s="56" t="s">
        <v>10</v>
      </c>
      <c r="I28" s="54">
        <f>IF(H11="да",0,(IF(H8=0,0,IF(H8=1,2,IF(H10=0,H8+1,H8+1+H10)))))</f>
        <v>0</v>
      </c>
      <c r="K28" s="9"/>
    </row>
    <row r="29" spans="1:11" ht="16.5" customHeight="1" x14ac:dyDescent="0.25">
      <c r="A29" s="38" t="s">
        <v>66</v>
      </c>
      <c r="B29" s="55" t="str">
        <f>IF(C29=0,"-","4,2х19")</f>
        <v>-</v>
      </c>
      <c r="C29" s="52">
        <f>IF(B$8=0,0,IF(B$11="нет",ROUNDUP(B20/0.4,0)*C20,0)+ROUNDUP(B23/0.4,0)*B8*2)</f>
        <v>0</v>
      </c>
      <c r="D29" s="55" t="str">
        <f>IF(E29=0,"-","4,2х19")</f>
        <v>-</v>
      </c>
      <c r="E29" s="52">
        <f>IF(D$8=0,0,IF(D$11="нет",ROUNDUP(D20/0.4,0)*E20,0)+ROUNDUP(D23/0.4,0)*D8*2)</f>
        <v>0</v>
      </c>
      <c r="F29" s="55" t="str">
        <f>IF(G29=0,"-","4,2х19")</f>
        <v>-</v>
      </c>
      <c r="G29" s="52">
        <f>IF(F$8=0,0,IF(F$11="нет",ROUNDUP(F20/0.4,0)*G20,0)+ROUNDUP(F23/0.4,0)*F8*2)</f>
        <v>0</v>
      </c>
      <c r="H29" s="55" t="str">
        <f>IF(I29=0,"-","4,2х19")</f>
        <v>-</v>
      </c>
      <c r="I29" s="54">
        <f>IF(H$8=0,0,IF(H$11="нет",ROUNDUP(H20/0.4,0)*I20,0)+ROUNDUP(H23/0.4,0)*H8*2)</f>
        <v>0</v>
      </c>
      <c r="K29" s="9"/>
    </row>
    <row r="30" spans="1:11" ht="16.5" customHeight="1" x14ac:dyDescent="0.25">
      <c r="A30" s="44" t="s">
        <v>13</v>
      </c>
      <c r="B30" s="55" t="str">
        <f>IF(C30=0,"-","4,2x16")</f>
        <v>-</v>
      </c>
      <c r="C30" s="52">
        <f>IF(B$8=0,0,B$8*8+(C23-2*B$8)*2+4*C25+(C23-2*B$8)*2)+IF(AND(B7&gt;0,OR(B7&lt;1.5,B7=1.5)),ROUNDUP(C19/2,0),IF(AND(B7&gt;1.5,OR(B7&lt;2.2,B7=2.2)),C19*1,IF(AND(B7&gt;2.21,OR(B7&lt;3,B7=3)),ROUNDUP((C19/2*1+C19/2*2)/B$8,0)*B$8)))</f>
        <v>0</v>
      </c>
      <c r="D30" s="55" t="str">
        <f>IF(E30=0,"-","4,2x16")</f>
        <v>-</v>
      </c>
      <c r="E30" s="52">
        <f>IF(D$8=0,0,D$8*8+(E23-2*D$8)*2+4*E25+(E23-2*D$8)*2)+IF(AND(D7&gt;0,OR(D7&lt;1.5,D7=1.5)),ROUNDUP(E19/2,0),IF(AND(D7&gt;1.5,OR(D7&lt;2.2,D7=2.2)),E19*1,IF(AND(D7&gt;2.21,OR(D7&lt;3,D7=3)),ROUNDUP((E19/2*1+E19/2*2)/D$8,0)*D$8)))</f>
        <v>0</v>
      </c>
      <c r="F30" s="55" t="str">
        <f>IF(G30=0,"-","4,2x16")</f>
        <v>-</v>
      </c>
      <c r="G30" s="52">
        <f>IF(F$8=0,0,F$8*8+(G23-2*F$8)*2+4*G25+(G23-2*F$8)*2)+IF(AND(F7&gt;0,OR(F7&lt;1.5,F7=1.5)),ROUNDUP(G19/2,0),IF(AND(F7&gt;1.5,OR(F7&lt;2.2,F7=2.2)),G19*1,IF(AND(F7&gt;2.21,OR(F7&lt;3,F7=3)),ROUNDUP((G19/2*1+G19/2*2)/F$8,0)*F$8)))</f>
        <v>0</v>
      </c>
      <c r="H30" s="55" t="str">
        <f>IF(I30=0,"-","4,2x16")</f>
        <v>-</v>
      </c>
      <c r="I30" s="54">
        <f>IF(H$8=0,0,H$8*8+(I23-2*H$8)*2+4*I25+(I23-2*H$8)*2)+IF(AND(H7&gt;0,OR(H7&lt;1.5,H7=1.5)),ROUNDUP(I19/2,0),IF(AND(H7&gt;1.5,OR(H7&lt;2.2,H7=2.2)),I19*1,IF(AND(H7&gt;2.21,OR(H7&lt;3,H7=3)),ROUNDUP((I19/2*1+I19/2*2)/H$8,0)*H$8)))</f>
        <v>0</v>
      </c>
      <c r="K30" s="9"/>
    </row>
    <row r="31" spans="1:11" ht="16.5" customHeight="1" x14ac:dyDescent="0.25">
      <c r="A31" s="44" t="s">
        <v>171</v>
      </c>
      <c r="B31" s="55" t="str">
        <f>IF(C31=0,"-","7,5x52")</f>
        <v>-</v>
      </c>
      <c r="C31" s="52">
        <f>IF(B$8=0,0,IF(B$11="да",ROUNDUP(B20/0.4,0)*C20,0))</f>
        <v>0</v>
      </c>
      <c r="D31" s="55" t="str">
        <f>IF(E31=0,"-","7,5x52")</f>
        <v>-</v>
      </c>
      <c r="E31" s="52">
        <f>IF(D$8=0,0,IF(D$11="да",ROUNDUP(D20/0.4,0)*E20,0))</f>
        <v>0</v>
      </c>
      <c r="F31" s="55" t="str">
        <f>IF(G31=0,"-","7,5x52")</f>
        <v>-</v>
      </c>
      <c r="G31" s="52">
        <f>IF(F$8=0,0,IF(F$11="да",ROUNDUP(F20/0.4,0)*G20,0))</f>
        <v>0</v>
      </c>
      <c r="H31" s="55" t="str">
        <f>IF(I31=0,"-","7,5x52")</f>
        <v>-</v>
      </c>
      <c r="I31" s="54">
        <f>IF(H$8=0,0,IF(H$11="да",ROUNDUP(H20/0.4,0)*I20,0))</f>
        <v>0</v>
      </c>
      <c r="K31" s="9"/>
    </row>
    <row r="32" spans="1:11" ht="16.5" customHeight="1" x14ac:dyDescent="0.25">
      <c r="A32" s="44" t="s">
        <v>51</v>
      </c>
      <c r="B32" s="55"/>
      <c r="C32" s="52">
        <f>C31</f>
        <v>0</v>
      </c>
      <c r="D32" s="91"/>
      <c r="E32" s="52">
        <f>E31</f>
        <v>0</v>
      </c>
      <c r="F32" s="91"/>
      <c r="G32" s="52">
        <f>G31</f>
        <v>0</v>
      </c>
      <c r="H32" s="91"/>
      <c r="I32" s="54">
        <f>I31</f>
        <v>0</v>
      </c>
      <c r="K32" s="9"/>
    </row>
    <row r="33" spans="1:11" ht="16.5" customHeight="1" x14ac:dyDescent="0.25">
      <c r="A33" s="71" t="s">
        <v>15</v>
      </c>
      <c r="B33" s="71"/>
      <c r="C33" s="72"/>
      <c r="D33" s="73"/>
      <c r="E33" s="74"/>
      <c r="F33" s="73"/>
      <c r="G33" s="74"/>
      <c r="H33" s="73"/>
      <c r="I33" s="75"/>
      <c r="K33" s="9"/>
    </row>
    <row r="34" spans="1:11" ht="16.5" customHeight="1" x14ac:dyDescent="0.25">
      <c r="A34" s="44" t="str">
        <f>IF(B12="нет","-",B12)</f>
        <v>-</v>
      </c>
      <c r="B34" s="57"/>
      <c r="C34" s="52">
        <f>IF($B$12=$A34,1,0)</f>
        <v>0</v>
      </c>
      <c r="D34" s="58"/>
      <c r="E34" s="52"/>
      <c r="F34" s="58"/>
      <c r="G34" s="52"/>
      <c r="H34" s="58"/>
      <c r="I34" s="54"/>
      <c r="K34" s="9"/>
    </row>
    <row r="35" spans="1:11" ht="16.5" customHeight="1" x14ac:dyDescent="0.25">
      <c r="A35" s="44" t="str">
        <f>IF(D12="нет","-",D12)</f>
        <v>-</v>
      </c>
      <c r="B35" s="57"/>
      <c r="C35" s="52"/>
      <c r="D35" s="58"/>
      <c r="E35" s="52">
        <f>IF($D$12=$A35,1,0)</f>
        <v>0</v>
      </c>
      <c r="F35" s="58"/>
      <c r="G35" s="52"/>
      <c r="H35" s="58"/>
      <c r="I35" s="54"/>
      <c r="K35" s="9"/>
    </row>
    <row r="36" spans="1:11" ht="16.5" customHeight="1" x14ac:dyDescent="0.25">
      <c r="A36" s="44" t="str">
        <f>IF(F12="нет","-",F12)</f>
        <v>-</v>
      </c>
      <c r="B36" s="57"/>
      <c r="C36" s="52"/>
      <c r="D36" s="58"/>
      <c r="E36" s="52"/>
      <c r="F36" s="58"/>
      <c r="G36" s="52">
        <f>IF($F$12=$A36,1,0)</f>
        <v>0</v>
      </c>
      <c r="H36" s="58"/>
      <c r="I36" s="54"/>
      <c r="K36" s="9"/>
    </row>
    <row r="37" spans="1:11" ht="16.5" customHeight="1" x14ac:dyDescent="0.25">
      <c r="A37" s="44" t="str">
        <f>IF(H12="нет","-",H12)</f>
        <v>-</v>
      </c>
      <c r="B37" s="57"/>
      <c r="C37" s="52"/>
      <c r="D37" s="58"/>
      <c r="E37" s="52"/>
      <c r="F37" s="58"/>
      <c r="G37" s="52"/>
      <c r="H37" s="58"/>
      <c r="I37" s="54">
        <f>IF($H$12=$A37,1,0)</f>
        <v>0</v>
      </c>
      <c r="K37" s="9"/>
    </row>
    <row r="38" spans="1:11" ht="16.5" customHeight="1" x14ac:dyDescent="0.25">
      <c r="A38" s="71" t="s">
        <v>18</v>
      </c>
      <c r="B38" s="71"/>
      <c r="C38" s="72"/>
      <c r="D38" s="73"/>
      <c r="E38" s="74"/>
      <c r="F38" s="73"/>
      <c r="G38" s="74"/>
      <c r="H38" s="73"/>
      <c r="I38" s="75"/>
      <c r="K38" s="9"/>
    </row>
    <row r="39" spans="1:11" ht="16.5" customHeight="1" x14ac:dyDescent="0.25">
      <c r="A39" s="44" t="str">
        <f>IF(B13="нет","-",B13)</f>
        <v>-</v>
      </c>
      <c r="B39" s="57"/>
      <c r="C39" s="52">
        <f>IF(B$13=$A39,1,0)</f>
        <v>0</v>
      </c>
      <c r="D39" s="58"/>
      <c r="E39" s="52"/>
      <c r="F39" s="58"/>
      <c r="G39" s="52"/>
      <c r="H39" s="58"/>
      <c r="I39" s="54"/>
      <c r="K39" s="9"/>
    </row>
    <row r="40" spans="1:11" ht="16.5" customHeight="1" x14ac:dyDescent="0.25">
      <c r="A40" s="44" t="str">
        <f>IF(D13="нет","-",D13)</f>
        <v>-</v>
      </c>
      <c r="B40" s="57"/>
      <c r="C40" s="52"/>
      <c r="D40" s="58"/>
      <c r="E40" s="52">
        <f t="shared" ref="E40" si="2">IF(D$13=$A40,1,0)</f>
        <v>0</v>
      </c>
      <c r="F40" s="58"/>
      <c r="G40" s="52"/>
      <c r="H40" s="58"/>
      <c r="I40" s="54"/>
      <c r="K40" s="9"/>
    </row>
    <row r="41" spans="1:11" ht="16.5" customHeight="1" x14ac:dyDescent="0.25">
      <c r="A41" s="44" t="str">
        <f>IF(F13="нет","-",F13)</f>
        <v>-</v>
      </c>
      <c r="B41" s="57"/>
      <c r="C41" s="52"/>
      <c r="D41" s="58"/>
      <c r="E41" s="52"/>
      <c r="F41" s="58"/>
      <c r="G41" s="52">
        <f t="shared" ref="G41" si="3">IF(F$13=$A41,1,0)</f>
        <v>0</v>
      </c>
      <c r="H41" s="58"/>
      <c r="I41" s="54"/>
      <c r="K41" s="9"/>
    </row>
    <row r="42" spans="1:11" ht="16.5" customHeight="1" x14ac:dyDescent="0.25">
      <c r="A42" s="44" t="str">
        <f>IF(H13="нет","-",H13)</f>
        <v>-</v>
      </c>
      <c r="B42" s="57"/>
      <c r="C42" s="52"/>
      <c r="D42" s="58"/>
      <c r="E42" s="52"/>
      <c r="F42" s="58"/>
      <c r="G42" s="52"/>
      <c r="H42" s="58"/>
      <c r="I42" s="54">
        <f t="shared" ref="I42" si="4">IF(H$13=$A42,1,0)</f>
        <v>0</v>
      </c>
      <c r="K42" s="9"/>
    </row>
    <row r="43" spans="1:11" ht="16.5" customHeight="1" x14ac:dyDescent="0.25">
      <c r="A43" s="71" t="s">
        <v>38</v>
      </c>
      <c r="B43" s="71"/>
      <c r="C43" s="72"/>
      <c r="D43" s="73"/>
      <c r="E43" s="74"/>
      <c r="F43" s="73"/>
      <c r="G43" s="74"/>
      <c r="H43" s="73"/>
      <c r="I43" s="75"/>
      <c r="K43" s="11"/>
    </row>
    <row r="44" spans="1:11" ht="16.5" customHeight="1" x14ac:dyDescent="0.25">
      <c r="A44" s="44" t="s">
        <v>158</v>
      </c>
      <c r="B44" s="51" t="str">
        <f>IF(C44=0,"-",VLOOKUP(B12,Данные1!$A$214:$S$219,3,FALSE))</f>
        <v>-</v>
      </c>
      <c r="C44" s="52">
        <f>VLOOKUP(B12,Данные1!$A$214:$S$219,2,FALSE)</f>
        <v>0</v>
      </c>
      <c r="D44" s="53" t="str">
        <f>IF(E44=0,"-",VLOOKUP(D12,Данные1!$A$214:$S$219,3,FALSE))</f>
        <v>-</v>
      </c>
      <c r="E44" s="52">
        <f>VLOOKUP(D12,Данные1!$A$214:$S$219,2,FALSE)</f>
        <v>0</v>
      </c>
      <c r="F44" s="53" t="str">
        <f>IF(G44=0,"-",VLOOKUP(F12,Данные1!$A$214:$S$219,3,FALSE))</f>
        <v>-</v>
      </c>
      <c r="G44" s="52">
        <f>VLOOKUP(F12,Данные1!$A$214:$S$219,2,FALSE)</f>
        <v>0</v>
      </c>
      <c r="H44" s="53" t="str">
        <f>IF(I44=0,"-",VLOOKUP(H12,Данные1!$A$214:$S$219,3,FALSE))</f>
        <v>-</v>
      </c>
      <c r="I44" s="54">
        <f>VLOOKUP(H12,Данные1!$A$214:$S$219,2,FALSE)</f>
        <v>0</v>
      </c>
      <c r="K44" s="11"/>
    </row>
    <row r="45" spans="1:11" ht="16.5" customHeight="1" x14ac:dyDescent="0.25">
      <c r="A45" s="44" t="s">
        <v>225</v>
      </c>
      <c r="B45" s="51" t="str">
        <f>IF(C45=0,"-",VLOOKUP(B12,Данные1!$A$214:$S$219,5,FALSE))</f>
        <v>-</v>
      </c>
      <c r="C45" s="52">
        <f>VLOOKUP(B12,Данные1!$A$214:$S$219,4,FALSE)</f>
        <v>0</v>
      </c>
      <c r="D45" s="53" t="str">
        <f>IF(E45=0,"-",VLOOKUP(D12,Данные1!$A$214:$S$219,5,FALSE))</f>
        <v>-</v>
      </c>
      <c r="E45" s="52">
        <f>VLOOKUP(D12,Данные1!$A$214:$S$219,4,FALSE)</f>
        <v>0</v>
      </c>
      <c r="F45" s="53" t="str">
        <f>IF(G45=0,"-",VLOOKUP(F12,Данные1!$A$214:$S$219,5,FALSE))</f>
        <v>-</v>
      </c>
      <c r="G45" s="52">
        <f>VLOOKUP(F12,Данные1!$A$214:$S$219,4,FALSE)</f>
        <v>0</v>
      </c>
      <c r="H45" s="53" t="str">
        <f>IF(I45=0,"-",VLOOKUP(H12,Данные1!$A$214:$S$219,5,FALSE))</f>
        <v>-</v>
      </c>
      <c r="I45" s="54">
        <f>VLOOKUP(H12,Данные1!$A$214:$S$219,4,FALSE)</f>
        <v>0</v>
      </c>
      <c r="K45" s="11"/>
    </row>
    <row r="46" spans="1:11" ht="16.5" customHeight="1" x14ac:dyDescent="0.25">
      <c r="A46" s="44" t="s">
        <v>178</v>
      </c>
      <c r="B46" s="51">
        <f>VLOOKUP(B12,Данные1!$A$214:$S$219,7,FALSE)</f>
        <v>0</v>
      </c>
      <c r="C46" s="52">
        <f>VLOOKUP(B12,Данные1!$A$214:$S$219,6,FALSE)</f>
        <v>0</v>
      </c>
      <c r="D46" s="53">
        <f>VLOOKUP(D12,Данные1!$A$214:$S$219,7,FALSE)</f>
        <v>0</v>
      </c>
      <c r="E46" s="52">
        <f>VLOOKUP(D12,Данные1!$A$214:$S$219,6,FALSE)</f>
        <v>0</v>
      </c>
      <c r="F46" s="53">
        <f>VLOOKUP(F12,Данные1!$A$214:$S$219,7,FALSE)</f>
        <v>0</v>
      </c>
      <c r="G46" s="52">
        <f>VLOOKUP(F12,Данные1!$A$214:$S$219,6,FALSE)</f>
        <v>0</v>
      </c>
      <c r="H46" s="53">
        <f>VLOOKUP(H12,Данные1!$A$214:$S$219,7,FALSE)</f>
        <v>0</v>
      </c>
      <c r="I46" s="54">
        <f>VLOOKUP(H12,Данные1!$A$214:$S$219,6,FALSE)</f>
        <v>0</v>
      </c>
      <c r="K46" s="11"/>
    </row>
    <row r="47" spans="1:11" ht="16.5" customHeight="1" x14ac:dyDescent="0.25">
      <c r="A47" s="44" t="s">
        <v>192</v>
      </c>
      <c r="B47" s="51">
        <f>VLOOKUP(B12,Данные1!$A$214:$S$219,9,FALSE)</f>
        <v>0</v>
      </c>
      <c r="C47" s="52">
        <f>VLOOKUP(B12,Данные1!$A$214:$S$219,8,FALSE)</f>
        <v>0</v>
      </c>
      <c r="D47" s="53">
        <f>VLOOKUP(D12,Данные1!$A$214:$S$219,9,FALSE)</f>
        <v>0</v>
      </c>
      <c r="E47" s="52">
        <f>VLOOKUP(D12,Данные1!$A$214:$S$219,8,FALSE)</f>
        <v>0</v>
      </c>
      <c r="F47" s="53">
        <f>VLOOKUP(F12,Данные1!$A$214:$S$219,9,FALSE)</f>
        <v>0</v>
      </c>
      <c r="G47" s="52">
        <f>VLOOKUP(F12,Данные1!$A$214:$S$219,8,FALSE)</f>
        <v>0</v>
      </c>
      <c r="H47" s="53">
        <f>VLOOKUP(H12,Данные1!$A$214:$S$219,9,FALSE)</f>
        <v>0</v>
      </c>
      <c r="I47" s="54">
        <f>VLOOKUP(H12,Данные1!$A$214:$S$219,8,FALSE)</f>
        <v>0</v>
      </c>
      <c r="K47" s="11"/>
    </row>
    <row r="48" spans="1:11" ht="16.5" customHeight="1" x14ac:dyDescent="0.25">
      <c r="A48" s="44" t="s">
        <v>191</v>
      </c>
      <c r="B48" s="51">
        <f>VLOOKUP(B12,Данные1!$A$214:$S$219,11,FALSE)</f>
        <v>0</v>
      </c>
      <c r="C48" s="52">
        <f>VLOOKUP(B12,Данные1!$A$214:$S$219,10,FALSE)</f>
        <v>0</v>
      </c>
      <c r="D48" s="53">
        <f>VLOOKUP(D12,Данные1!$A$214:$S$219,11,FALSE)</f>
        <v>0</v>
      </c>
      <c r="E48" s="52">
        <f>VLOOKUP(D12,Данные1!$A$214:$S$219,10,FALSE)</f>
        <v>0</v>
      </c>
      <c r="F48" s="53">
        <f>VLOOKUP(F12,Данные1!$A$214:$S$219,11,FALSE)</f>
        <v>0</v>
      </c>
      <c r="G48" s="52">
        <f>VLOOKUP(F12,Данные1!$A$214:$S$219,10,FALSE)</f>
        <v>0</v>
      </c>
      <c r="H48" s="53">
        <f>VLOOKUP(H12,Данные1!$A$214:$S$219,11,FALSE)</f>
        <v>0</v>
      </c>
      <c r="I48" s="54">
        <f>VLOOKUP(H12,Данные1!$A$214:$S$219,10,FALSE)</f>
        <v>0</v>
      </c>
      <c r="K48" s="11"/>
    </row>
    <row r="49" spans="1:30" ht="16.5" customHeight="1" x14ac:dyDescent="0.25">
      <c r="A49" s="44" t="s">
        <v>162</v>
      </c>
      <c r="B49" s="51">
        <f>VLOOKUP(B12,Данные1!$A$214:$S$219,13,FALSE)</f>
        <v>0</v>
      </c>
      <c r="C49" s="52">
        <f>VLOOKUP(B12,Данные1!$A$214:$S$219,12,FALSE)</f>
        <v>0</v>
      </c>
      <c r="D49" s="53">
        <f>VLOOKUP(D12,Данные1!$A$214:$S$219,13,FALSE)</f>
        <v>0</v>
      </c>
      <c r="E49" s="52">
        <f>VLOOKUP(D12,Данные1!$A$214:$S$219,12,FALSE)</f>
        <v>0</v>
      </c>
      <c r="F49" s="53">
        <f>VLOOKUP(F12,Данные1!$A$214:$S$219,13,FALSE)</f>
        <v>0</v>
      </c>
      <c r="G49" s="52">
        <f>VLOOKUP(F12,Данные1!$A$214:$S$219,12,FALSE)</f>
        <v>0</v>
      </c>
      <c r="H49" s="53">
        <f>VLOOKUP(H12,Данные1!$A$214:$S$219,13,FALSE)</f>
        <v>0</v>
      </c>
      <c r="I49" s="54">
        <f>VLOOKUP(H12,Данные1!$A$214:$S$219,12,FALSE)</f>
        <v>0</v>
      </c>
      <c r="K49" s="11"/>
    </row>
    <row r="50" spans="1:30" ht="16.5" customHeight="1" x14ac:dyDescent="0.25">
      <c r="A50" s="44" t="s">
        <v>163</v>
      </c>
      <c r="B50" s="51">
        <f>VLOOKUP(B12,Данные1!$A$214:$S$219,15,FALSE)</f>
        <v>0</v>
      </c>
      <c r="C50" s="52">
        <f>VLOOKUP(B12,Данные1!$A$214:$S$219,14,FALSE)</f>
        <v>0</v>
      </c>
      <c r="D50" s="53">
        <f>VLOOKUP(D12,Данные1!$A$214:$S$219,15,FALSE)</f>
        <v>0</v>
      </c>
      <c r="E50" s="52">
        <f>VLOOKUP(D12,Данные1!$A$214:$S$219,14,FALSE)</f>
        <v>0</v>
      </c>
      <c r="F50" s="53">
        <f>VLOOKUP(F12,Данные1!$A$214:$S$219,15,FALSE)</f>
        <v>0</v>
      </c>
      <c r="G50" s="52">
        <f>VLOOKUP(F12,Данные1!$A$214:$S$219,14,FALSE)</f>
        <v>0</v>
      </c>
      <c r="H50" s="53">
        <f>VLOOKUP(H12,Данные1!$A$214:$S$219,15,FALSE)</f>
        <v>0</v>
      </c>
      <c r="I50" s="54">
        <f>VLOOKUP(H12,Данные1!$A$214:$S$219,14,FALSE)</f>
        <v>0</v>
      </c>
      <c r="K50" s="11"/>
    </row>
    <row r="51" spans="1:30" ht="16.5" customHeight="1" x14ac:dyDescent="0.25">
      <c r="A51" s="44" t="s">
        <v>45</v>
      </c>
      <c r="B51" s="51" t="s">
        <v>10</v>
      </c>
      <c r="C51" s="52">
        <f>VLOOKUP(B12,Данные1!$A$214:$S$219,17,FALSE)</f>
        <v>0</v>
      </c>
      <c r="D51" s="53" t="s">
        <v>10</v>
      </c>
      <c r="E51" s="52">
        <f>VLOOKUP(D12,Данные1!$A$214:$S$219,17,FALSE)</f>
        <v>0</v>
      </c>
      <c r="F51" s="53" t="s">
        <v>10</v>
      </c>
      <c r="G51" s="52">
        <f>VLOOKUP(F12,Данные1!$A$214:$S$219,17,FALSE)</f>
        <v>0</v>
      </c>
      <c r="H51" s="53" t="s">
        <v>10</v>
      </c>
      <c r="I51" s="54">
        <f>VLOOKUP(H12,Данные1!$A$214:$S$219,17,FALSE)</f>
        <v>0</v>
      </c>
      <c r="K51" s="11"/>
    </row>
    <row r="52" spans="1:30" ht="16.5" customHeight="1" x14ac:dyDescent="0.25">
      <c r="A52" s="44" t="s">
        <v>47</v>
      </c>
      <c r="B52" s="51" t="s">
        <v>10</v>
      </c>
      <c r="C52" s="52">
        <f>VLOOKUP(B12,Данные1!$A$214:$S$219,18,FALSE)</f>
        <v>0</v>
      </c>
      <c r="D52" s="53" t="s">
        <v>10</v>
      </c>
      <c r="E52" s="52">
        <f>VLOOKUP(D12,Данные1!$A$214:$S$219,18,FALSE)</f>
        <v>0</v>
      </c>
      <c r="F52" s="53" t="s">
        <v>10</v>
      </c>
      <c r="G52" s="52">
        <f>VLOOKUP(F12,Данные1!$A$214:$S$219,18,FALSE)</f>
        <v>0</v>
      </c>
      <c r="H52" s="53" t="s">
        <v>10</v>
      </c>
      <c r="I52" s="54">
        <f>VLOOKUP(H12,Данные1!$A$214:$S$219,18,FALSE)</f>
        <v>0</v>
      </c>
      <c r="K52" s="11"/>
    </row>
    <row r="53" spans="1:30" ht="16.5" customHeight="1" x14ac:dyDescent="0.25">
      <c r="A53" s="44" t="s">
        <v>193</v>
      </c>
      <c r="B53" s="51" t="s">
        <v>10</v>
      </c>
      <c r="C53" s="52">
        <f>VLOOKUP(B12,Данные1!$A$214:$S$219,19,FALSE)</f>
        <v>0</v>
      </c>
      <c r="D53" s="53" t="s">
        <v>10</v>
      </c>
      <c r="E53" s="52">
        <f>VLOOKUP(D12,Данные1!$A$214:$S$219,19,FALSE)</f>
        <v>0</v>
      </c>
      <c r="F53" s="53" t="s">
        <v>10</v>
      </c>
      <c r="G53" s="52">
        <f>VLOOKUP(F12,Данные1!$A$214:$S$219,19,FALSE)</f>
        <v>0</v>
      </c>
      <c r="H53" s="53" t="s">
        <v>10</v>
      </c>
      <c r="I53" s="54">
        <f>VLOOKUP(H12,Данные1!$A$214:$S$219,19,FALSE)</f>
        <v>0</v>
      </c>
      <c r="K53" s="11"/>
    </row>
    <row r="54" spans="1:30" ht="16.5" customHeight="1" x14ac:dyDescent="0.25">
      <c r="A54" s="44" t="s">
        <v>12</v>
      </c>
      <c r="B54" s="55" t="s">
        <v>173</v>
      </c>
      <c r="C54" s="52">
        <f>VLOOKUP(B12,Данные1!$A$214:$S$219,16,FALSE)</f>
        <v>0</v>
      </c>
      <c r="D54" s="55" t="s">
        <v>173</v>
      </c>
      <c r="E54" s="52">
        <f>VLOOKUP(D12,Данные1!$A$214:$S$219,16,FALSE)</f>
        <v>0</v>
      </c>
      <c r="F54" s="55" t="s">
        <v>173</v>
      </c>
      <c r="G54" s="52">
        <f>VLOOKUP(F12,Данные1!$A$214:$S$219,16,FALSE)</f>
        <v>0</v>
      </c>
      <c r="H54" s="55" t="s">
        <v>173</v>
      </c>
      <c r="I54" s="54">
        <f>VLOOKUP(H12,Данные1!$A$214:$S$219,16,FALSE)</f>
        <v>0</v>
      </c>
      <c r="K54" s="11"/>
    </row>
    <row r="55" spans="1:30" ht="18.75" customHeight="1" x14ac:dyDescent="0.25">
      <c r="A55" s="71" t="s">
        <v>48</v>
      </c>
      <c r="B55" s="71"/>
      <c r="C55" s="72"/>
      <c r="D55" s="73"/>
      <c r="E55" s="74"/>
      <c r="F55" s="73"/>
      <c r="G55" s="74"/>
      <c r="H55" s="73"/>
      <c r="I55" s="75"/>
      <c r="K55" s="11"/>
    </row>
    <row r="56" spans="1:30" ht="16.5" customHeight="1" x14ac:dyDescent="0.25">
      <c r="A56" s="44" t="s">
        <v>158</v>
      </c>
      <c r="B56" s="51" t="str">
        <f>IF(C56=0,"-",VLOOKUP(B13,Данные1!$A$221:$S$243,3,FALSE))</f>
        <v>-</v>
      </c>
      <c r="C56" s="52">
        <f>VLOOKUP(B13,Данные1!$A$221:$S$243,2,FALSE)</f>
        <v>0</v>
      </c>
      <c r="D56" s="51" t="str">
        <f>IF(E56=0,"-",VLOOKUP(D13,Данные1!$A$221:$S$243,3,FALSE))</f>
        <v>-</v>
      </c>
      <c r="E56" s="52">
        <f>VLOOKUP(D13,Данные1!$A$221:$S$243,2,FALSE)</f>
        <v>0</v>
      </c>
      <c r="F56" s="51" t="str">
        <f>IF(G56=0,"-",VLOOKUP(F13,Данные1!$A$221:$S$243,3,FALSE))</f>
        <v>-</v>
      </c>
      <c r="G56" s="52">
        <f>VLOOKUP(F13,Данные1!$A$221:$S$243,2,FALSE)</f>
        <v>0</v>
      </c>
      <c r="H56" s="51" t="str">
        <f>IF(I56=0,"-",VLOOKUP(H13,Данные1!$A$221:$S$243,3,FALSE))</f>
        <v>-</v>
      </c>
      <c r="I56" s="54">
        <f>VLOOKUP(H13,Данные1!$A$221:$S$243,2,FALSE)</f>
        <v>0</v>
      </c>
      <c r="K56" s="11"/>
    </row>
    <row r="57" spans="1:30" ht="16.5" customHeight="1" x14ac:dyDescent="0.25">
      <c r="A57" s="44" t="s">
        <v>306</v>
      </c>
      <c r="B57" s="51" t="str">
        <f>IF(C57=0,"-",VLOOKUP(B13,Данные1!$A$221:$AA$243,21,FALSE))</f>
        <v>-</v>
      </c>
      <c r="C57" s="52">
        <f>VLOOKUP(B13,Данные1!$A$221:$AA$243,20,FALSE)</f>
        <v>0</v>
      </c>
      <c r="D57" s="51" t="str">
        <f>IF(E57=0,"-",VLOOKUP(D13,Данные1!$A$221:$AA$243,21,FALSE))</f>
        <v>-</v>
      </c>
      <c r="E57" s="52">
        <f>VLOOKUP(D13,Данные1!$A$221:$AA$243,20,FALSE)</f>
        <v>0</v>
      </c>
      <c r="F57" s="51" t="str">
        <f>IF(G57=0,"-",VLOOKUP(F13,Данные1!$A$221:$AA$243,21,FALSE))</f>
        <v>-</v>
      </c>
      <c r="G57" s="52">
        <f>VLOOKUP(F13,Данные1!$A$221:$AA$243,20,FALSE)</f>
        <v>0</v>
      </c>
      <c r="H57" s="51" t="str">
        <f>IF(I57=0,"-",VLOOKUP(H13,Данные1!$A$221:$AA$243,21,FALSE))</f>
        <v>-</v>
      </c>
      <c r="I57" s="54">
        <f>VLOOKUP(H13,Данные1!$A$221:$AA$243,20,FALSE)</f>
        <v>0</v>
      </c>
      <c r="K57" s="11"/>
    </row>
    <row r="58" spans="1:30" ht="16.5" customHeight="1" x14ac:dyDescent="0.25">
      <c r="A58" s="44" t="s">
        <v>225</v>
      </c>
      <c r="B58" s="51" t="str">
        <f>IF(C58=0,"-",VLOOKUP(B13,Данные1!$A$221:$S$243,5,FALSE))</f>
        <v>-</v>
      </c>
      <c r="C58" s="52">
        <f>VLOOKUP(B13,Данные1!$A$221:$S$243,4,FALSE)</f>
        <v>0</v>
      </c>
      <c r="D58" s="51" t="str">
        <f>IF(E58=0,"-",VLOOKUP(D13,Данные1!$A$221:$S$243,5,FALSE))</f>
        <v>-</v>
      </c>
      <c r="E58" s="52">
        <f>VLOOKUP(D13,Данные1!$A$221:$S$243,4,FALSE)</f>
        <v>0</v>
      </c>
      <c r="F58" s="51" t="str">
        <f>IF(G58=0,"-",VLOOKUP(F13,Данные1!$A$221:$S$243,5,FALSE))</f>
        <v>-</v>
      </c>
      <c r="G58" s="52">
        <f>VLOOKUP(F13,Данные1!$A$221:$S$243,4,FALSE)</f>
        <v>0</v>
      </c>
      <c r="H58" s="51" t="str">
        <f>IF(I58=0,"-",VLOOKUP(H13,Данные1!$A$221:$S$243,5,FALSE))</f>
        <v>-</v>
      </c>
      <c r="I58" s="54">
        <f>VLOOKUP(H13,Данные1!$A$221:$S$243,4,FALSE)</f>
        <v>0</v>
      </c>
      <c r="K58" s="11"/>
    </row>
    <row r="59" spans="1:30" ht="16.5" customHeight="1" x14ac:dyDescent="0.25">
      <c r="A59" s="44" t="s">
        <v>307</v>
      </c>
      <c r="B59" s="51" t="str">
        <f>IF(C59=0,"-",VLOOKUP(B13,Данные1!$A$221:$AA$243,23,FALSE))</f>
        <v>-</v>
      </c>
      <c r="C59" s="52">
        <f>VLOOKUP(B13,Данные1!$A$221:$AA$243,22,FALSE)</f>
        <v>0</v>
      </c>
      <c r="D59" s="51" t="str">
        <f>IF(E59=0,"-",VLOOKUP(D13,Данные1!$A$221:$AA$243,23,FALSE))</f>
        <v>-</v>
      </c>
      <c r="E59" s="52">
        <f>VLOOKUP(D13,Данные1!$A$221:$AA$243,22,FALSE)</f>
        <v>0</v>
      </c>
      <c r="F59" s="51" t="str">
        <f>IF(G59=0,"-",VLOOKUP(F13,Данные1!$A$221:$AA$243,23,FALSE))</f>
        <v>-</v>
      </c>
      <c r="G59" s="52">
        <f>VLOOKUP(F13,Данные1!$A$221:$AA$243,22,FALSE)</f>
        <v>0</v>
      </c>
      <c r="H59" s="51" t="str">
        <f>IF(I59=0,"-",VLOOKUP(H13,Данные1!$A$221:$AA$243,23,FALSE))</f>
        <v>-</v>
      </c>
      <c r="I59" s="54">
        <f>VLOOKUP(H13,Данные1!$A$221:$AA$243,22,FALSE)</f>
        <v>0</v>
      </c>
      <c r="K59" s="11"/>
    </row>
    <row r="60" spans="1:30" ht="16.5" customHeight="1" x14ac:dyDescent="0.25">
      <c r="A60" s="44" t="s">
        <v>178</v>
      </c>
      <c r="B60" s="51">
        <f>VLOOKUP(B13,Данные1!$A$221:$S$243,7,FALSE)</f>
        <v>0</v>
      </c>
      <c r="C60" s="52">
        <f>VLOOKUP(B13,Данные1!$A$221:$S$243,6,FALSE)</f>
        <v>0</v>
      </c>
      <c r="D60" s="51">
        <f>VLOOKUP(D13,Данные1!$A$221:$S$243,7,FALSE)</f>
        <v>0</v>
      </c>
      <c r="E60" s="52">
        <f>VLOOKUP(D13,Данные1!$A$221:$S$243,6,FALSE)</f>
        <v>0</v>
      </c>
      <c r="F60" s="51">
        <f>VLOOKUP(F13,Данные1!$A$221:$S$243,7,FALSE)</f>
        <v>0</v>
      </c>
      <c r="G60" s="52">
        <f>VLOOKUP(F13,Данные1!$A$221:$S$243,6,FALSE)</f>
        <v>0</v>
      </c>
      <c r="H60" s="51">
        <f>VLOOKUP(H13,Данные1!$A$221:$S$243,7,FALSE)</f>
        <v>0</v>
      </c>
      <c r="I60" s="54">
        <f>VLOOKUP(H13,Данные1!$A$221:$S$243,6,FALSE)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3"/>
      <c r="AA60" s="11"/>
      <c r="AB60" s="14"/>
      <c r="AC60" s="14"/>
      <c r="AD60" s="14"/>
    </row>
    <row r="61" spans="1:30" ht="16.5" customHeight="1" x14ac:dyDescent="0.25">
      <c r="A61" s="44" t="s">
        <v>192</v>
      </c>
      <c r="B61" s="51">
        <f>VLOOKUP(B13,Данные1!$A$221:$S$243,9,FALSE)</f>
        <v>0</v>
      </c>
      <c r="C61" s="52">
        <f>VLOOKUP(B13,Данные1!$A$221:$S$243,8,FALSE)</f>
        <v>0</v>
      </c>
      <c r="D61" s="51">
        <f>VLOOKUP(D13,Данные1!$A$221:$S$243,9,FALSE)</f>
        <v>0</v>
      </c>
      <c r="E61" s="52">
        <f>VLOOKUP(D13,Данные1!$A$221:$S$243,8,FALSE)</f>
        <v>0</v>
      </c>
      <c r="F61" s="51">
        <f>VLOOKUP(F13,Данные1!$A$221:$S$243,9,FALSE)</f>
        <v>0</v>
      </c>
      <c r="G61" s="52">
        <f>VLOOKUP(F13,Данные1!$A$221:$S$243,8,FALSE)</f>
        <v>0</v>
      </c>
      <c r="H61" s="51">
        <f>VLOOKUP(H13,Данные1!$A$221:$S$243,9,FALSE)</f>
        <v>0</v>
      </c>
      <c r="I61" s="54">
        <f>VLOOKUP(H13,Данные1!$A$221:$S$243,8,FALSE)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3"/>
      <c r="AA61" s="11"/>
      <c r="AB61" s="14"/>
      <c r="AC61" s="14"/>
      <c r="AD61" s="14"/>
    </row>
    <row r="62" spans="1:30" ht="16.5" customHeight="1" x14ac:dyDescent="0.25">
      <c r="A62" s="44" t="s">
        <v>189</v>
      </c>
      <c r="B62" s="51" t="str">
        <f>IF(C62=0,"-",VLOOKUP(B13,Данные1!$A$221:$AA$243,25,FALSE))</f>
        <v>-</v>
      </c>
      <c r="C62" s="52">
        <f>VLOOKUP(B13,Данные1!$A$221:$AA$243,24,FALSE)</f>
        <v>0</v>
      </c>
      <c r="D62" s="51" t="str">
        <f>IF(E62=0,"-",VLOOKUP(D13,Данные1!$A$221:$AA$243,25,FALSE))</f>
        <v>-</v>
      </c>
      <c r="E62" s="52">
        <f>VLOOKUP(D13,Данные1!$A$221:$AA$243,24,FALSE)</f>
        <v>0</v>
      </c>
      <c r="F62" s="51" t="str">
        <f>IF(G62=0,"-",VLOOKUP(F13,Данные1!$A$221:$AA$243,25,FALSE))</f>
        <v>-</v>
      </c>
      <c r="G62" s="52">
        <f>VLOOKUP(F13,Данные1!$A$221:$AA$243,24,FALSE)</f>
        <v>0</v>
      </c>
      <c r="H62" s="51" t="str">
        <f>IF(I62=0,"-",VLOOKUP(H13,Данные1!$A$221:$AA$243,25,FALSE))</f>
        <v>-</v>
      </c>
      <c r="I62" s="54">
        <f>VLOOKUP(H13,Данные1!$A$221:$AA$243,24,FALSE)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3"/>
      <c r="AA62" s="11"/>
      <c r="AB62" s="14"/>
      <c r="AC62" s="14"/>
      <c r="AD62" s="14"/>
    </row>
    <row r="63" spans="1:30" ht="16.5" customHeight="1" x14ac:dyDescent="0.25">
      <c r="A63" s="44" t="s">
        <v>191</v>
      </c>
      <c r="B63" s="51">
        <f>VLOOKUP(B13,Данные1!$A$221:$S$243,11,FALSE)</f>
        <v>0</v>
      </c>
      <c r="C63" s="52">
        <f>VLOOKUP(B13,Данные1!$A$221:$S$243,10,FALSE)</f>
        <v>0</v>
      </c>
      <c r="D63" s="51">
        <f>VLOOKUP(D13,Данные1!$A$221:$S$243,11,FALSE)</f>
        <v>0</v>
      </c>
      <c r="E63" s="52">
        <f>VLOOKUP(D13,Данные1!$A$221:$S$243,10,FALSE)</f>
        <v>0</v>
      </c>
      <c r="F63" s="51">
        <f>VLOOKUP(F13,Данные1!$A$221:$S$243,11,FALSE)</f>
        <v>0</v>
      </c>
      <c r="G63" s="52">
        <f>VLOOKUP(F13,Данные1!$A$221:$S$243,10,FALSE)</f>
        <v>0</v>
      </c>
      <c r="H63" s="51">
        <f>VLOOKUP(H13,Данные1!$A$221:$S$243,11,FALSE)</f>
        <v>0</v>
      </c>
      <c r="I63" s="54">
        <f>VLOOKUP(H13,Данные1!$A$221:$S$243,10,FALSE)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5">
      <c r="A64" s="44" t="s">
        <v>191</v>
      </c>
      <c r="B64" s="51" t="str">
        <f>IF(C64=0,"-",VLOOKUP(B13,Данные1!$A$221:$AA$243,27,FALSE))</f>
        <v>-</v>
      </c>
      <c r="C64" s="52">
        <f>VLOOKUP(B13,Данные1!$A$221:$AA$243,26,FALSE)</f>
        <v>0</v>
      </c>
      <c r="D64" s="51" t="str">
        <f>IF(E64=0,"-",VLOOKUP(D13,Данные1!$A$221:$AA$243,27,FALSE))</f>
        <v>-</v>
      </c>
      <c r="E64" s="52">
        <f>VLOOKUP(D13,Данные1!$A$221:$AA$243,26,FALSE)</f>
        <v>0</v>
      </c>
      <c r="F64" s="51" t="str">
        <f>IF(G64=0,"-",VLOOKUP(F13,Данные1!$A$221:$AA$243,27,FALSE))</f>
        <v>-</v>
      </c>
      <c r="G64" s="52">
        <f>VLOOKUP(F13,Данные1!$A$221:$AA$243,26,FALSE)</f>
        <v>0</v>
      </c>
      <c r="H64" s="51" t="str">
        <f>IF(I64=0,"-",VLOOKUP(H13,Данные1!$A$221:$AA$243,27,FALSE))</f>
        <v>-</v>
      </c>
      <c r="I64" s="54">
        <f>VLOOKUP(H13,Данные1!$A$221:$AA$243,26,FALSE)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3"/>
      <c r="AA64" s="11"/>
      <c r="AB64" s="14"/>
      <c r="AC64" s="14"/>
      <c r="AD64" s="14"/>
    </row>
    <row r="65" spans="1:33" ht="16.5" customHeight="1" x14ac:dyDescent="0.25">
      <c r="A65" s="44" t="s">
        <v>162</v>
      </c>
      <c r="B65" s="51">
        <f>VLOOKUP(B13,Данные1!$A$221:$S$243,13,FALSE)</f>
        <v>0</v>
      </c>
      <c r="C65" s="52">
        <f>VLOOKUP(B13,Данные1!$A$221:$S$243,12,FALSE)</f>
        <v>0</v>
      </c>
      <c r="D65" s="51">
        <f>VLOOKUP(D13,Данные1!$A$221:$S$243,13,FALSE)</f>
        <v>0</v>
      </c>
      <c r="E65" s="52">
        <f>VLOOKUP(D13,Данные1!$A$221:$S$243,12,FALSE)</f>
        <v>0</v>
      </c>
      <c r="F65" s="51">
        <f>VLOOKUP(F13,Данные1!$A$221:$S$243,13,FALSE)</f>
        <v>0</v>
      </c>
      <c r="G65" s="52">
        <f>VLOOKUP(F13,Данные1!$A$221:$S$243,12,FALSE)</f>
        <v>0</v>
      </c>
      <c r="H65" s="51">
        <f>VLOOKUP(H13,Данные1!$A$221:$S$243,13,FALSE)</f>
        <v>0</v>
      </c>
      <c r="I65" s="54">
        <f>VLOOKUP(H13,Данные1!$A$221:$S$243,12,FALSE)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6" t="s">
        <v>163</v>
      </c>
      <c r="B66" s="51">
        <f>VLOOKUP(B13,Данные1!$A$221:$S$243,15,FALSE)</f>
        <v>0</v>
      </c>
      <c r="C66" s="52">
        <f>VLOOKUP(B13,Данные1!$A$221:$S$243,14,FALSE)</f>
        <v>0</v>
      </c>
      <c r="D66" s="51">
        <f>VLOOKUP(D13,Данные1!$A$221:$S$243,15,FALSE)</f>
        <v>0</v>
      </c>
      <c r="E66" s="52">
        <f>VLOOKUP(D13,Данные1!$A$221:$S$243,14,FALSE)</f>
        <v>0</v>
      </c>
      <c r="F66" s="51">
        <f>VLOOKUP(F13,Данные1!$A$221:$S$243,15,FALSE)</f>
        <v>0</v>
      </c>
      <c r="G66" s="52">
        <f>VLOOKUP(F13,Данные1!$A$221:$S$243,14,FALSE)</f>
        <v>0</v>
      </c>
      <c r="H66" s="51">
        <f>VLOOKUP(H13,Данные1!$A$221:$S$243,15,FALSE)</f>
        <v>0</v>
      </c>
      <c r="I66" s="54">
        <f>VLOOKUP(H13,Данные1!$A$221:$S$243,14,FALSE)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5">
      <c r="A67" s="38" t="s">
        <v>45</v>
      </c>
      <c r="B67" s="51" t="s">
        <v>10</v>
      </c>
      <c r="C67" s="52">
        <f>VLOOKUP(B13,Данные1!$A$221:$S$243,17,FALSE)</f>
        <v>0</v>
      </c>
      <c r="D67" s="51" t="s">
        <v>10</v>
      </c>
      <c r="E67" s="52">
        <f>VLOOKUP(D13,Данные1!$A$221:$S$243,17,FALSE)</f>
        <v>0</v>
      </c>
      <c r="F67" s="51" t="s">
        <v>10</v>
      </c>
      <c r="G67" s="52">
        <f>VLOOKUP(F13,Данные1!$A$221:$S$243,17,FALSE)</f>
        <v>0</v>
      </c>
      <c r="H67" s="51" t="s">
        <v>10</v>
      </c>
      <c r="I67" s="54">
        <f>VLOOKUP(H13,Данные1!$A$221:$S$243,17,FALSE)</f>
        <v>0</v>
      </c>
      <c r="J67" s="93"/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5">
      <c r="A68" s="38" t="s">
        <v>47</v>
      </c>
      <c r="B68" s="51" t="s">
        <v>10</v>
      </c>
      <c r="C68" s="52">
        <f>VLOOKUP(B13,Данные1!$A$221:$S$243,18,FALSE)</f>
        <v>0</v>
      </c>
      <c r="D68" s="51" t="s">
        <v>10</v>
      </c>
      <c r="E68" s="52">
        <f>VLOOKUP(D13,Данные1!$A$221:$S$243,18,FALSE)</f>
        <v>0</v>
      </c>
      <c r="F68" s="51" t="s">
        <v>10</v>
      </c>
      <c r="G68" s="52">
        <f>VLOOKUP(F13,Данные1!$A$221:$S$243,18,FALSE)</f>
        <v>0</v>
      </c>
      <c r="H68" s="51" t="s">
        <v>10</v>
      </c>
      <c r="I68" s="54">
        <f>VLOOKUP(H13,Данные1!$A$221:$S$243,18,FALSE)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5">
      <c r="A69" s="38" t="s">
        <v>193</v>
      </c>
      <c r="B69" s="51" t="s">
        <v>10</v>
      </c>
      <c r="C69" s="52">
        <f>VLOOKUP(B13,Данные1!$A$221:$S$243,19,FALSE)</f>
        <v>0</v>
      </c>
      <c r="D69" s="51" t="s">
        <v>10</v>
      </c>
      <c r="E69" s="52">
        <f>VLOOKUP(D13,Данные1!$A$221:$S$243,19,FALSE)</f>
        <v>0</v>
      </c>
      <c r="F69" s="51" t="s">
        <v>10</v>
      </c>
      <c r="G69" s="52">
        <f>VLOOKUP(F13,Данные1!$A$221:$S$243,19,FALSE)</f>
        <v>0</v>
      </c>
      <c r="H69" s="51" t="s">
        <v>10</v>
      </c>
      <c r="I69" s="54">
        <f>VLOOKUP(H13,Данные1!$A$221:$S$243,19,FALSE)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5">
      <c r="A70" s="44" t="s">
        <v>12</v>
      </c>
      <c r="B70" s="55" t="s">
        <v>173</v>
      </c>
      <c r="C70" s="52">
        <f>VLOOKUP(B13,Данные1!$A$221:$S$243,16,FALSE)</f>
        <v>0</v>
      </c>
      <c r="D70" s="55" t="s">
        <v>173</v>
      </c>
      <c r="E70" s="52">
        <f>VLOOKUP(D13,Данные1!$A$221:$S$243,16,FALSE)</f>
        <v>0</v>
      </c>
      <c r="F70" s="55" t="s">
        <v>173</v>
      </c>
      <c r="G70" s="52">
        <f>VLOOKUP(F13,Данные1!$A$221:$S$243,16,FALSE)</f>
        <v>0</v>
      </c>
      <c r="H70" s="55" t="s">
        <v>173</v>
      </c>
      <c r="I70" s="54">
        <f>VLOOKUP(H13,Данные1!$A$221:$S$243,16,FALSE)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5">
      <c r="A71" s="71" t="s">
        <v>206</v>
      </c>
      <c r="B71" s="76"/>
      <c r="C71" s="77"/>
      <c r="D71" s="80"/>
      <c r="E71" s="77"/>
      <c r="F71" s="80"/>
      <c r="G71" s="77"/>
      <c r="H71" s="80"/>
      <c r="I71" s="76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s="93" customFormat="1" ht="16.5" customHeight="1" x14ac:dyDescent="0.25">
      <c r="A72" s="38" t="s">
        <v>66</v>
      </c>
      <c r="B72" s="55" t="s">
        <v>176</v>
      </c>
      <c r="C72" s="52">
        <f>C29</f>
        <v>0</v>
      </c>
      <c r="D72" s="55" t="s">
        <v>176</v>
      </c>
      <c r="E72" s="52">
        <f>E29</f>
        <v>0</v>
      </c>
      <c r="F72" s="55" t="s">
        <v>176</v>
      </c>
      <c r="G72" s="52">
        <f>G29</f>
        <v>0</v>
      </c>
      <c r="H72" s="55" t="s">
        <v>176</v>
      </c>
      <c r="I72" s="54">
        <f>I29</f>
        <v>0</v>
      </c>
      <c r="K72" s="90"/>
      <c r="R72" s="94"/>
      <c r="S72" s="95"/>
      <c r="T72" s="95"/>
      <c r="U72" s="95"/>
      <c r="V72" s="95"/>
      <c r="W72" s="95"/>
      <c r="X72" s="95"/>
      <c r="Y72" s="95"/>
      <c r="Z72" s="96"/>
      <c r="AA72" s="97"/>
      <c r="AB72" s="98"/>
      <c r="AC72" s="97"/>
      <c r="AD72" s="90"/>
      <c r="AE72" s="97"/>
      <c r="AF72" s="97"/>
      <c r="AG72" s="97"/>
    </row>
    <row r="73" spans="1:33" s="93" customFormat="1" ht="16.5" customHeight="1" x14ac:dyDescent="0.25">
      <c r="A73" s="44" t="s">
        <v>13</v>
      </c>
      <c r="B73" s="55" t="s">
        <v>175</v>
      </c>
      <c r="C73" s="52">
        <f>C30</f>
        <v>0</v>
      </c>
      <c r="D73" s="55" t="s">
        <v>175</v>
      </c>
      <c r="E73" s="52">
        <f>E30</f>
        <v>0</v>
      </c>
      <c r="F73" s="55" t="s">
        <v>175</v>
      </c>
      <c r="G73" s="52">
        <f>G30</f>
        <v>0</v>
      </c>
      <c r="H73" s="55" t="s">
        <v>175</v>
      </c>
      <c r="I73" s="54">
        <f>I30</f>
        <v>0</v>
      </c>
      <c r="K73" s="90"/>
      <c r="R73" s="94"/>
      <c r="S73" s="95"/>
      <c r="T73" s="95"/>
      <c r="U73" s="95"/>
      <c r="V73" s="95"/>
      <c r="W73" s="95"/>
      <c r="X73" s="95"/>
      <c r="Y73" s="95"/>
      <c r="Z73" s="96"/>
      <c r="AA73" s="97"/>
      <c r="AB73" s="98"/>
      <c r="AC73" s="97"/>
      <c r="AD73" s="90"/>
      <c r="AE73" s="97"/>
      <c r="AF73" s="97"/>
      <c r="AG73" s="97"/>
    </row>
    <row r="74" spans="1:33" s="93" customFormat="1" ht="16.5" customHeight="1" x14ac:dyDescent="0.25">
      <c r="A74" s="44" t="s">
        <v>12</v>
      </c>
      <c r="B74" s="55" t="s">
        <v>173</v>
      </c>
      <c r="C74" s="52">
        <f>C70</f>
        <v>0</v>
      </c>
      <c r="D74" s="55" t="s">
        <v>173</v>
      </c>
      <c r="E74" s="52">
        <f>E70</f>
        <v>0</v>
      </c>
      <c r="F74" s="55" t="s">
        <v>173</v>
      </c>
      <c r="G74" s="52">
        <f>G70</f>
        <v>0</v>
      </c>
      <c r="H74" s="55" t="s">
        <v>173</v>
      </c>
      <c r="I74" s="54">
        <f>I70</f>
        <v>0</v>
      </c>
      <c r="K74" s="90"/>
      <c r="R74" s="94"/>
      <c r="S74" s="95"/>
      <c r="T74" s="95"/>
      <c r="U74" s="95"/>
      <c r="V74" s="95"/>
      <c r="W74" s="95"/>
      <c r="X74" s="95"/>
      <c r="Y74" s="95"/>
      <c r="Z74" s="96"/>
      <c r="AA74" s="97"/>
      <c r="AB74" s="98"/>
      <c r="AC74" s="97"/>
      <c r="AD74" s="90"/>
      <c r="AE74" s="97"/>
      <c r="AF74" s="97"/>
      <c r="AG74" s="97"/>
    </row>
    <row r="75" spans="1:33" s="93" customFormat="1" ht="16.5" customHeight="1" x14ac:dyDescent="0.25">
      <c r="A75" s="44" t="s">
        <v>260</v>
      </c>
      <c r="B75" s="55" t="s">
        <v>174</v>
      </c>
      <c r="C75" s="52">
        <f>C31</f>
        <v>0</v>
      </c>
      <c r="D75" s="55" t="s">
        <v>174</v>
      </c>
      <c r="E75" s="52">
        <f>E31</f>
        <v>0</v>
      </c>
      <c r="F75" s="55" t="s">
        <v>174</v>
      </c>
      <c r="G75" s="52">
        <f>G31</f>
        <v>0</v>
      </c>
      <c r="H75" s="55" t="s">
        <v>174</v>
      </c>
      <c r="I75" s="54">
        <f>I31</f>
        <v>0</v>
      </c>
      <c r="K75" s="90"/>
      <c r="R75" s="94"/>
      <c r="S75" s="95"/>
      <c r="T75" s="95"/>
      <c r="U75" s="95"/>
      <c r="V75" s="95"/>
      <c r="W75" s="95"/>
      <c r="X75" s="95"/>
      <c r="Y75" s="95"/>
      <c r="Z75" s="96"/>
      <c r="AA75" s="97"/>
      <c r="AB75" s="98"/>
      <c r="AC75" s="97"/>
      <c r="AD75" s="90"/>
      <c r="AE75" s="97"/>
      <c r="AF75" s="97"/>
      <c r="AG75" s="97"/>
    </row>
    <row r="76" spans="1:33" s="93" customFormat="1" ht="16.5" customHeight="1" x14ac:dyDescent="0.25">
      <c r="A76" s="44" t="s">
        <v>261</v>
      </c>
      <c r="B76" s="55"/>
      <c r="C76" s="52">
        <f>C32</f>
        <v>0</v>
      </c>
      <c r="D76" s="55"/>
      <c r="E76" s="52">
        <f>E32</f>
        <v>0</v>
      </c>
      <c r="F76" s="55"/>
      <c r="G76" s="52">
        <f>G32</f>
        <v>0</v>
      </c>
      <c r="H76" s="55"/>
      <c r="I76" s="54">
        <f>I32</f>
        <v>0</v>
      </c>
      <c r="K76" s="90"/>
      <c r="R76" s="94"/>
      <c r="S76" s="95"/>
      <c r="T76" s="95"/>
      <c r="U76" s="95"/>
      <c r="V76" s="95"/>
      <c r="W76" s="95"/>
      <c r="X76" s="95"/>
      <c r="Y76" s="95"/>
      <c r="Z76" s="96"/>
      <c r="AA76" s="97"/>
      <c r="AB76" s="98"/>
      <c r="AC76" s="97"/>
      <c r="AD76" s="90"/>
      <c r="AE76" s="97"/>
      <c r="AF76" s="97"/>
      <c r="AG76" s="97"/>
    </row>
    <row r="77" spans="1:33" ht="12.75" customHeight="1" x14ac:dyDescent="0.25">
      <c r="A77" s="12"/>
      <c r="B77" s="39"/>
      <c r="C77" s="11"/>
      <c r="D77" s="11"/>
      <c r="E77" s="11"/>
      <c r="F77" s="11"/>
      <c r="G77" s="11"/>
      <c r="H77" s="11"/>
      <c r="I77" s="11"/>
      <c r="J77" s="40"/>
      <c r="K77" s="11"/>
    </row>
    <row r="78" spans="1:33" ht="12.75" customHeight="1" x14ac:dyDescent="0.25">
      <c r="A78" s="40"/>
      <c r="B78" s="39"/>
      <c r="C78" s="11"/>
      <c r="D78" s="11"/>
      <c r="E78" s="11"/>
      <c r="F78" s="11"/>
      <c r="G78" s="11"/>
      <c r="H78" s="11"/>
      <c r="I78" s="11"/>
      <c r="J78" s="40"/>
      <c r="K78" s="11"/>
    </row>
    <row r="79" spans="1:33" ht="19.5" customHeight="1" x14ac:dyDescent="0.25">
      <c r="A79" s="214" t="s">
        <v>128</v>
      </c>
      <c r="B79" s="214"/>
      <c r="C79" s="214"/>
      <c r="D79" s="214"/>
      <c r="E79" s="214"/>
      <c r="F79" s="214"/>
      <c r="G79" s="214"/>
      <c r="H79" s="214"/>
      <c r="I79" s="214"/>
      <c r="J79" s="40"/>
      <c r="K79" s="11"/>
    </row>
    <row r="80" spans="1:33" ht="28.5" customHeight="1" x14ac:dyDescent="0.25">
      <c r="A80" s="219" t="s">
        <v>223</v>
      </c>
      <c r="B80" s="220"/>
      <c r="C80" s="220"/>
      <c r="D80" s="220"/>
      <c r="E80" s="220"/>
      <c r="F80" s="220"/>
      <c r="G80" s="220"/>
      <c r="H80" s="220"/>
      <c r="I80" s="221"/>
      <c r="J80" s="12"/>
    </row>
    <row r="81" spans="1:13" ht="28.5" customHeight="1" x14ac:dyDescent="0.25">
      <c r="A81" s="219" t="s">
        <v>209</v>
      </c>
      <c r="B81" s="220"/>
      <c r="C81" s="220"/>
      <c r="D81" s="220"/>
      <c r="E81" s="220"/>
      <c r="F81" s="220"/>
      <c r="G81" s="220"/>
      <c r="H81" s="220"/>
      <c r="I81" s="221"/>
      <c r="J81" s="12"/>
    </row>
    <row r="82" spans="1:13" ht="28.5" customHeight="1" x14ac:dyDescent="0.25">
      <c r="A82" s="197" t="s">
        <v>49</v>
      </c>
      <c r="B82" s="198"/>
      <c r="C82" s="198"/>
      <c r="D82" s="198"/>
      <c r="E82" s="198"/>
      <c r="F82" s="198"/>
      <c r="G82" s="198"/>
      <c r="H82" s="198"/>
      <c r="I82" s="199"/>
      <c r="J82" s="17"/>
      <c r="K82" s="17"/>
    </row>
    <row r="83" spans="1:13" ht="28.5" customHeight="1" x14ac:dyDescent="0.25">
      <c r="A83" s="197" t="s">
        <v>129</v>
      </c>
      <c r="B83" s="198"/>
      <c r="C83" s="198"/>
      <c r="D83" s="198"/>
      <c r="E83" s="198"/>
      <c r="F83" s="198"/>
      <c r="G83" s="198"/>
      <c r="H83" s="198"/>
      <c r="I83" s="199"/>
      <c r="J83" s="41"/>
      <c r="K83" s="36"/>
      <c r="L83" s="19"/>
      <c r="M83" s="19"/>
    </row>
    <row r="84" spans="1:13" ht="12.75" customHeight="1" x14ac:dyDescent="0.25">
      <c r="K84" s="26"/>
    </row>
    <row r="85" spans="1:13" ht="12.75" customHeight="1" x14ac:dyDescent="0.25">
      <c r="A85" s="20"/>
      <c r="B85" s="20"/>
      <c r="C85" s="20"/>
      <c r="D85" s="20"/>
      <c r="E85" s="20"/>
      <c r="F85" s="20"/>
      <c r="G85" s="20"/>
      <c r="H85" s="20"/>
    </row>
    <row r="86" spans="1:13" x14ac:dyDescent="0.25">
      <c r="A86" s="20"/>
      <c r="B86" s="20"/>
      <c r="C86" s="20"/>
      <c r="D86" s="20"/>
      <c r="E86" s="20"/>
      <c r="F86" s="20"/>
      <c r="G86" s="20"/>
      <c r="H86" s="20"/>
    </row>
    <row r="87" spans="1:13" x14ac:dyDescent="0.25">
      <c r="A87" s="20"/>
      <c r="B87" s="20"/>
      <c r="C87" s="20"/>
      <c r="D87" s="20"/>
      <c r="E87" s="20"/>
      <c r="F87" s="20"/>
      <c r="G87" s="20"/>
      <c r="H87" s="20"/>
    </row>
    <row r="88" spans="1:13" x14ac:dyDescent="0.25">
      <c r="A88" s="20"/>
      <c r="B88" s="20"/>
      <c r="C88" s="20"/>
      <c r="D88" s="20"/>
      <c r="E88" s="20"/>
      <c r="F88" s="20"/>
      <c r="G88" s="20"/>
      <c r="H88" s="20"/>
    </row>
    <row r="89" spans="1:13" ht="12.75" customHeight="1" x14ac:dyDescent="0.25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5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5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5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5">
      <c r="A94" s="21"/>
      <c r="B94" s="21"/>
      <c r="C94" s="21"/>
      <c r="D94" s="21"/>
      <c r="E94" s="21"/>
      <c r="F94" s="21"/>
      <c r="G94" s="21"/>
      <c r="H94" s="21"/>
    </row>
    <row r="95" spans="1:13" ht="12.7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5">
      <c r="H98" s="12"/>
    </row>
    <row r="99" spans="1:8" ht="12.75" customHeight="1" x14ac:dyDescent="0.25">
      <c r="H99" s="12"/>
    </row>
    <row r="100" spans="1:8" x14ac:dyDescent="0.25">
      <c r="H100" s="12"/>
    </row>
    <row r="101" spans="1:8" x14ac:dyDescent="0.25">
      <c r="A101" s="5"/>
      <c r="B101" s="5"/>
      <c r="H101" s="12"/>
    </row>
    <row r="102" spans="1:8" x14ac:dyDescent="0.25">
      <c r="A102" s="5"/>
      <c r="B102" s="45"/>
      <c r="H102" s="12"/>
    </row>
    <row r="103" spans="1:8" x14ac:dyDescent="0.25">
      <c r="A103" s="5"/>
      <c r="B103" s="45"/>
      <c r="H103" s="12"/>
    </row>
    <row r="104" spans="1:8" x14ac:dyDescent="0.25">
      <c r="A104" s="42"/>
      <c r="B104" s="45"/>
      <c r="H104" s="12"/>
    </row>
    <row r="105" spans="1:8" x14ac:dyDescent="0.25">
      <c r="A105" s="42"/>
      <c r="B105" s="45"/>
      <c r="H105" s="12"/>
    </row>
    <row r="106" spans="1:8" x14ac:dyDescent="0.25">
      <c r="H106" s="12"/>
    </row>
    <row r="107" spans="1:8" x14ac:dyDescent="0.25">
      <c r="A107" s="28"/>
      <c r="H107" s="12"/>
    </row>
    <row r="108" spans="1:8" x14ac:dyDescent="0.25">
      <c r="A108" s="28"/>
      <c r="H108" s="12"/>
    </row>
    <row r="109" spans="1:8" x14ac:dyDescent="0.25">
      <c r="A109" s="28"/>
      <c r="H109" s="12"/>
    </row>
    <row r="110" spans="1:8" x14ac:dyDescent="0.25">
      <c r="A110" s="28"/>
      <c r="H110" s="12"/>
    </row>
    <row r="111" spans="1:8" x14ac:dyDescent="0.25">
      <c r="A111" s="28"/>
      <c r="H111" s="12"/>
    </row>
    <row r="112" spans="1:8" x14ac:dyDescent="0.25">
      <c r="A112" s="28"/>
      <c r="H112" s="12"/>
    </row>
    <row r="113" spans="1:11" x14ac:dyDescent="0.25">
      <c r="A113" s="28"/>
      <c r="H113" s="12"/>
    </row>
    <row r="114" spans="1:11" s="3" customFormat="1" x14ac:dyDescent="0.25">
      <c r="C114" s="29"/>
      <c r="D114" s="29"/>
      <c r="E114" s="29"/>
      <c r="F114" s="29"/>
      <c r="G114" s="29"/>
      <c r="H114" s="32"/>
      <c r="I114" s="29"/>
      <c r="J114" s="29"/>
      <c r="K114" s="29"/>
    </row>
    <row r="115" spans="1:11" s="3" customFormat="1" x14ac:dyDescent="0.25">
      <c r="A115" s="31"/>
      <c r="B115" s="218"/>
      <c r="C115" s="218"/>
      <c r="D115" s="29"/>
      <c r="E115" s="29"/>
      <c r="F115" s="29"/>
      <c r="G115" s="29"/>
      <c r="H115" s="32"/>
      <c r="I115" s="29"/>
      <c r="J115" s="29"/>
      <c r="K115" s="29"/>
    </row>
    <row r="116" spans="1:11" x14ac:dyDescent="0.25">
      <c r="A116" s="29"/>
      <c r="B116" s="29"/>
      <c r="C116" s="29"/>
    </row>
    <row r="117" spans="1:11" s="3" customFormat="1" x14ac:dyDescent="0.25">
      <c r="A117" s="30"/>
      <c r="B117" s="30"/>
      <c r="C117" s="30"/>
      <c r="D117" s="29"/>
      <c r="E117" s="29"/>
      <c r="F117" s="29"/>
      <c r="G117" s="29"/>
      <c r="H117" s="32"/>
      <c r="I117" s="29"/>
      <c r="J117" s="29"/>
      <c r="K117" s="29"/>
    </row>
    <row r="118" spans="1:11" s="3" customFormat="1" x14ac:dyDescent="0.25">
      <c r="A118" s="31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5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x14ac:dyDescent="0.25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5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5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5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5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5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5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5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5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5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5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5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5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5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5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5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5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5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5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5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5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5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5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5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5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5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5" customFormat="1" x14ac:dyDescent="0.3">
      <c r="A146" s="33"/>
      <c r="B146" s="34"/>
      <c r="C146" s="34"/>
      <c r="D146" s="34"/>
      <c r="E146" s="34"/>
      <c r="F146" s="34"/>
      <c r="G146" s="34"/>
      <c r="H146" s="34"/>
      <c r="I146" s="34"/>
      <c r="J146" s="32"/>
      <c r="K146" s="32"/>
    </row>
    <row r="147" spans="1:11" s="3" customFormat="1" x14ac:dyDescent="0.25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x14ac:dyDescent="0.25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5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29"/>
      <c r="K150" s="29"/>
    </row>
    <row r="151" spans="1:11" s="3" customFormat="1" x14ac:dyDescent="0.25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x14ac:dyDescent="0.25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5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5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5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5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5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5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5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5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5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5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5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5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5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29"/>
      <c r="B173" s="29"/>
      <c r="C173" s="29"/>
      <c r="D173" s="29"/>
      <c r="J173" s="29"/>
      <c r="K173" s="29"/>
    </row>
    <row r="174" spans="1:11" s="3" customFormat="1" x14ac:dyDescent="0.25">
      <c r="A174" s="29"/>
      <c r="B174" s="29"/>
      <c r="C174" s="29"/>
      <c r="D174" s="29"/>
      <c r="J174" s="29"/>
      <c r="K174" s="29"/>
    </row>
    <row r="175" spans="1:11" s="3" customFormat="1" x14ac:dyDescent="0.25">
      <c r="A175" s="29"/>
      <c r="B175" s="29"/>
      <c r="C175" s="29"/>
      <c r="D175" s="29"/>
      <c r="J175" s="29"/>
      <c r="K175" s="29"/>
    </row>
    <row r="176" spans="1:11" s="3" customFormat="1" x14ac:dyDescent="0.25">
      <c r="A176" s="29"/>
      <c r="B176" s="29"/>
      <c r="C176" s="29"/>
      <c r="D176" s="29"/>
      <c r="J176" s="29"/>
      <c r="K176" s="29"/>
    </row>
    <row r="177" spans="1:11" s="3" customFormat="1" x14ac:dyDescent="0.25">
      <c r="A177" s="29"/>
      <c r="B177" s="29"/>
      <c r="C177" s="29"/>
      <c r="D177" s="29"/>
      <c r="J177" s="29"/>
      <c r="K177" s="29"/>
    </row>
    <row r="178" spans="1:11" s="3" customFormat="1" x14ac:dyDescent="0.25">
      <c r="A178" s="29"/>
      <c r="B178" s="29"/>
      <c r="C178" s="29"/>
      <c r="D178" s="29"/>
      <c r="J178" s="29"/>
      <c r="K178" s="29"/>
    </row>
    <row r="179" spans="1:11" s="3" customFormat="1" x14ac:dyDescent="0.25">
      <c r="A179" s="29"/>
      <c r="B179" s="29"/>
      <c r="C179" s="29"/>
      <c r="D179" s="29"/>
      <c r="J179" s="29"/>
      <c r="K179" s="29"/>
    </row>
    <row r="180" spans="1:11" s="3" customFormat="1" x14ac:dyDescent="0.25">
      <c r="A180" s="29"/>
      <c r="B180" s="29"/>
      <c r="C180" s="29"/>
      <c r="D180" s="29"/>
      <c r="J180" s="29"/>
      <c r="K180" s="29"/>
    </row>
    <row r="181" spans="1:11" s="3" customFormat="1" x14ac:dyDescent="0.25">
      <c r="A181" s="29"/>
      <c r="B181" s="29"/>
      <c r="C181" s="29"/>
      <c r="D181" s="29"/>
      <c r="J181" s="29"/>
      <c r="K181" s="29"/>
    </row>
    <row r="182" spans="1:11" s="3" customFormat="1" x14ac:dyDescent="0.25">
      <c r="A182" s="29"/>
      <c r="B182" s="29"/>
      <c r="C182" s="29"/>
      <c r="D182" s="29"/>
      <c r="J182" s="29"/>
      <c r="K182" s="29"/>
    </row>
    <row r="183" spans="1:11" s="3" customFormat="1" x14ac:dyDescent="0.25">
      <c r="A183" s="29"/>
      <c r="B183" s="29"/>
      <c r="C183" s="29"/>
      <c r="D183" s="29"/>
      <c r="J183" s="29"/>
      <c r="K183" s="29"/>
    </row>
    <row r="184" spans="1:11" s="3" customFormat="1" x14ac:dyDescent="0.25">
      <c r="A184" s="29"/>
      <c r="B184" s="29"/>
      <c r="C184" s="29"/>
      <c r="D184" s="29"/>
      <c r="J184" s="29"/>
      <c r="K184" s="29"/>
    </row>
    <row r="185" spans="1:11" s="3" customFormat="1" x14ac:dyDescent="0.25">
      <c r="A185" s="29"/>
      <c r="B185" s="29"/>
      <c r="C185" s="29"/>
      <c r="D185" s="29"/>
      <c r="J185" s="29"/>
      <c r="K185" s="29"/>
    </row>
    <row r="186" spans="1:11" s="3" customFormat="1" x14ac:dyDescent="0.25"/>
    <row r="187" spans="1:11" s="3" customFormat="1" x14ac:dyDescent="0.25"/>
    <row r="188" spans="1:11" s="3" customFormat="1" x14ac:dyDescent="0.25"/>
    <row r="189" spans="1:11" s="3" customFormat="1" x14ac:dyDescent="0.25"/>
    <row r="190" spans="1:11" s="3" customFormat="1" x14ac:dyDescent="0.25"/>
  </sheetData>
  <sheetProtection selectLockedCells="1" selectUnlockedCells="1"/>
  <mergeCells count="54">
    <mergeCell ref="B15:I15"/>
    <mergeCell ref="B115:C115"/>
    <mergeCell ref="A79:I79"/>
    <mergeCell ref="A80:I80"/>
    <mergeCell ref="A81:I81"/>
    <mergeCell ref="A82:I82"/>
    <mergeCell ref="A83:I83"/>
    <mergeCell ref="A16:A17"/>
    <mergeCell ref="B16:C16"/>
    <mergeCell ref="D16:E16"/>
    <mergeCell ref="F16:G16"/>
    <mergeCell ref="H16:I16"/>
    <mergeCell ref="B14:C14"/>
    <mergeCell ref="D14:E14"/>
    <mergeCell ref="F14:G14"/>
    <mergeCell ref="H14:I14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4:A5"/>
    <mergeCell ref="B4:I4"/>
    <mergeCell ref="B5:C5"/>
    <mergeCell ref="D5:E5"/>
    <mergeCell ref="F5:G5"/>
    <mergeCell ref="H5:I5"/>
  </mergeCells>
  <dataValidations count="15">
    <dataValidation type="list" allowBlank="1" showInputMessage="1" showErrorMessage="1" sqref="H14:I14" xr:uid="{00000000-0002-0000-0400-000000000000}">
      <formula1>CEXUI</formula1>
    </dataValidation>
    <dataValidation type="list" allowBlank="1" showInputMessage="1" showErrorMessage="1" sqref="F14:G14" xr:uid="{00000000-0002-0000-0400-000001000000}">
      <formula1>IANCJ</formula1>
    </dataValidation>
    <dataValidation type="list" allowBlank="1" showInputMessage="1" showErrorMessage="1" sqref="D14:E14" xr:uid="{00000000-0002-0000-0400-000002000000}">
      <formula1>MUGNQ</formula1>
    </dataValidation>
    <dataValidation type="list" allowBlank="1" showInputMessage="1" showErrorMessage="1" sqref="B14:C14" xr:uid="{00000000-0002-0000-0400-000003000000}">
      <formula1>BTYPS</formula1>
    </dataValidation>
    <dataValidation type="list" allowBlank="1" showInputMessage="1" showErrorMessage="1" sqref="H12:I12" xr:uid="{00000000-0002-0000-0400-000009000000}">
      <formula1>OGGLT</formula1>
    </dataValidation>
    <dataValidation type="list" allowBlank="1" showInputMessage="1" showErrorMessage="1" sqref="F12:G12" xr:uid="{00000000-0002-0000-0400-00000A000000}">
      <formula1>TAYYL</formula1>
    </dataValidation>
    <dataValidation type="list" allowBlank="1" showInputMessage="1" showErrorMessage="1" sqref="D12:E12" xr:uid="{00000000-0002-0000-0400-00000B000000}">
      <formula1>PSAXR</formula1>
    </dataValidation>
    <dataValidation type="list" allowBlank="1" showInputMessage="1" showErrorMessage="1" sqref="B12:C12" xr:uid="{00000000-0002-0000-0400-00000C000000}">
      <formula1>GQIBE</formula1>
    </dataValidation>
    <dataValidation type="list" allowBlank="1" showInputMessage="1" showErrorMessage="1" sqref="B11 D11 F11 H11" xr:uid="{00000000-0002-0000-0400-00000D000000}">
      <formula1>"да, нет"</formula1>
    </dataValidation>
    <dataValidation type="decimal" operator="lessThanOrEqual" allowBlank="1" showInputMessage="1" showErrorMessage="1" sqref="H7 B7 D7 F7" xr:uid="{00000000-0002-0000-0400-00000E000000}">
      <formula1>3</formula1>
    </dataValidation>
    <dataValidation type="list" allowBlank="1" showInputMessage="1" showErrorMessage="1" sqref="B6:C6" xr:uid="{00000000-0002-0000-0400-00000F000000}">
      <formula1>CBUAQ</formula1>
    </dataValidation>
    <dataValidation type="list" allowBlank="1" showInputMessage="1" showErrorMessage="1" sqref="D6:E6" xr:uid="{00000000-0002-0000-0400-000010000000}">
      <formula1>RCUTI</formula1>
    </dataValidation>
    <dataValidation type="list" allowBlank="1" showInputMessage="1" showErrorMessage="1" sqref="F6:G6" xr:uid="{00000000-0002-0000-0400-000011000000}">
      <formula1>TTAIM</formula1>
    </dataValidation>
    <dataValidation type="list" allowBlank="1" showInputMessage="1" showErrorMessage="1" sqref="H6:I6" xr:uid="{00000000-0002-0000-0400-000012000000}">
      <formula1>KPHTG</formula1>
    </dataValidation>
    <dataValidation type="list" allowBlank="1" showInputMessage="1" showErrorMessage="1" sqref="B13:I13" xr:uid="{953D86DA-36F9-4008-B561-794EACE80B81}">
      <formula1>RCHVF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0" fitToHeight="2" orientation="portrait" horizontalDpi="300" verticalDpi="300" r:id="rId1"/>
  <headerFooter scaleWithDoc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F497-B266-403A-98CD-1A0CEFF6542F}">
  <sheetPr>
    <tabColor theme="9"/>
    <pageSetUpPr fitToPage="1"/>
  </sheetPr>
  <dimension ref="A1:EL384"/>
  <sheetViews>
    <sheetView showGridLines="0" zoomScaleNormal="100" zoomScaleSheetLayoutView="55" workbookViewId="0">
      <selection activeCell="A15" sqref="A15"/>
    </sheetView>
  </sheetViews>
  <sheetFormatPr defaultColWidth="9.109375" defaultRowHeight="15" customHeight="1" x14ac:dyDescent="0.35"/>
  <cols>
    <col min="1" max="1" width="46.5546875" style="144" customWidth="1"/>
    <col min="2" max="2" width="18.21875" style="144" bestFit="1" customWidth="1"/>
    <col min="3" max="3" width="18.109375" style="144" customWidth="1"/>
    <col min="4" max="4" width="6.6640625" style="144" customWidth="1"/>
    <col min="5" max="9" width="12" style="144" customWidth="1"/>
    <col min="10" max="113" width="12" style="190" customWidth="1"/>
    <col min="114" max="122" width="12" style="144" customWidth="1"/>
    <col min="123" max="123" width="23.77734375" style="144" bestFit="1" customWidth="1"/>
    <col min="124" max="124" width="18" style="144" customWidth="1"/>
    <col min="125" max="125" width="27.44140625" style="144" bestFit="1" customWidth="1"/>
    <col min="126" max="126" width="9.109375" style="144" customWidth="1"/>
    <col min="127" max="127" width="3" style="144" customWidth="1"/>
    <col min="128" max="128" width="30.6640625" style="144" customWidth="1"/>
    <col min="129" max="129" width="11.33203125" style="144" customWidth="1"/>
    <col min="130" max="130" width="31" style="144" customWidth="1"/>
    <col min="131" max="131" width="9.109375" style="144"/>
    <col min="132" max="132" width="19.77734375" style="144" bestFit="1" customWidth="1"/>
    <col min="133" max="16384" width="9.109375" style="144"/>
  </cols>
  <sheetData>
    <row r="1" spans="1:129" x14ac:dyDescent="0.35">
      <c r="A1" s="143">
        <v>45835</v>
      </c>
      <c r="D1" s="191"/>
      <c r="E1" s="145"/>
      <c r="F1" s="145"/>
      <c r="G1" s="145"/>
      <c r="H1" s="145"/>
      <c r="I1" s="145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Y1" s="145"/>
    </row>
    <row r="2" spans="1:129" x14ac:dyDescent="0.35">
      <c r="A2" s="151"/>
      <c r="E2" s="145"/>
      <c r="F2" s="145"/>
      <c r="G2" s="145"/>
      <c r="H2" s="145"/>
      <c r="I2" s="145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Y2" s="145"/>
    </row>
    <row r="3" spans="1:129" x14ac:dyDescent="0.35">
      <c r="A3" s="156"/>
      <c r="E3" s="145"/>
      <c r="F3" s="145"/>
      <c r="G3" s="145"/>
      <c r="H3" s="145"/>
      <c r="I3" s="145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Y3" s="145"/>
    </row>
    <row r="4" spans="1:129" x14ac:dyDescent="0.35">
      <c r="E4" s="145"/>
      <c r="F4" s="145"/>
      <c r="G4" s="145"/>
      <c r="H4" s="145"/>
      <c r="I4" s="145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Y4" s="145"/>
    </row>
    <row r="5" spans="1:129" x14ac:dyDescent="0.35">
      <c r="E5" s="145"/>
      <c r="F5" s="145"/>
      <c r="G5" s="145"/>
      <c r="H5" s="145"/>
      <c r="I5" s="145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Y5" s="145"/>
    </row>
    <row r="6" spans="1:129" x14ac:dyDescent="0.35">
      <c r="A6" s="244" t="str">
        <f>IF(B8/1000&gt;B7,"Ошибка - ширина секции не может быть более длины забора","")</f>
        <v/>
      </c>
      <c r="B6" s="244"/>
      <c r="E6" s="145"/>
      <c r="F6" s="145"/>
      <c r="G6" s="145"/>
      <c r="H6" s="145"/>
      <c r="I6" s="145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Y6" s="145"/>
    </row>
    <row r="7" spans="1:129" x14ac:dyDescent="0.35">
      <c r="A7" s="168" t="s">
        <v>268</v>
      </c>
      <c r="B7" s="169">
        <v>20</v>
      </c>
      <c r="C7" s="188" t="s">
        <v>296</v>
      </c>
      <c r="E7" s="145"/>
      <c r="F7" s="145"/>
      <c r="G7" s="145"/>
      <c r="H7" s="145"/>
      <c r="I7" s="145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Y7" s="145"/>
    </row>
    <row r="8" spans="1:129" x14ac:dyDescent="0.35">
      <c r="A8" s="171" t="s">
        <v>275</v>
      </c>
      <c r="B8" s="172">
        <v>2500</v>
      </c>
      <c r="C8" s="188" t="s">
        <v>296</v>
      </c>
      <c r="E8" s="145"/>
      <c r="F8" s="145"/>
      <c r="G8" s="145"/>
      <c r="H8" s="145"/>
      <c r="I8" s="145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Y8" s="145"/>
    </row>
    <row r="9" spans="1:129" x14ac:dyDescent="0.35">
      <c r="A9" s="168" t="s">
        <v>277</v>
      </c>
      <c r="B9" s="172">
        <v>2000</v>
      </c>
      <c r="C9" s="188" t="s">
        <v>296</v>
      </c>
      <c r="E9" s="145"/>
      <c r="F9" s="145"/>
      <c r="G9" s="145"/>
      <c r="H9" s="145"/>
      <c r="I9" s="145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</row>
    <row r="10" spans="1:129" x14ac:dyDescent="0.35">
      <c r="A10" s="245" t="s">
        <v>295</v>
      </c>
      <c r="B10" s="245"/>
      <c r="C10" s="188" t="s">
        <v>123</v>
      </c>
      <c r="E10" s="145"/>
      <c r="F10" s="145"/>
      <c r="G10" s="145"/>
      <c r="H10" s="145"/>
      <c r="I10" s="145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</row>
    <row r="11" spans="1:129" x14ac:dyDescent="0.35">
      <c r="A11" s="171" t="s">
        <v>281</v>
      </c>
      <c r="B11" s="177">
        <v>30</v>
      </c>
      <c r="C11" s="188" t="s">
        <v>296</v>
      </c>
      <c r="E11" s="145"/>
      <c r="F11" s="145"/>
      <c r="G11" s="145"/>
      <c r="H11" s="145"/>
      <c r="I11" s="145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</row>
    <row r="12" spans="1:129" x14ac:dyDescent="0.35">
      <c r="A12" s="171" t="s">
        <v>265</v>
      </c>
      <c r="B12" s="178" t="s">
        <v>271</v>
      </c>
      <c r="C12" s="188" t="s">
        <v>123</v>
      </c>
      <c r="E12" s="145"/>
      <c r="F12" s="145"/>
      <c r="G12" s="145"/>
      <c r="H12" s="145"/>
      <c r="I12" s="145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</row>
    <row r="13" spans="1:129" x14ac:dyDescent="0.35">
      <c r="A13" s="171" t="s">
        <v>285</v>
      </c>
      <c r="B13" s="177">
        <v>0</v>
      </c>
      <c r="C13" s="188" t="s">
        <v>296</v>
      </c>
      <c r="D13" s="145"/>
      <c r="E13" s="145"/>
      <c r="F13" s="145"/>
      <c r="G13" s="145"/>
      <c r="H13" s="145"/>
      <c r="I13" s="145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</row>
    <row r="14" spans="1:129" x14ac:dyDescent="0.35">
      <c r="A14" s="246" t="s">
        <v>338</v>
      </c>
      <c r="B14" s="246"/>
      <c r="C14" s="145"/>
      <c r="D14" s="145"/>
      <c r="E14" s="145"/>
      <c r="F14" s="145"/>
      <c r="G14" s="145"/>
      <c r="H14" s="145"/>
      <c r="I14" s="145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</row>
    <row r="15" spans="1:129" x14ac:dyDescent="0.35">
      <c r="A15" s="182" t="s">
        <v>340</v>
      </c>
      <c r="B15" s="183">
        <v>0</v>
      </c>
      <c r="D15" s="145"/>
      <c r="E15" s="145"/>
      <c r="F15" s="145"/>
      <c r="G15" s="145"/>
      <c r="H15" s="145"/>
      <c r="I15" s="145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</row>
    <row r="16" spans="1:129" ht="15" customHeight="1" x14ac:dyDescent="0.35">
      <c r="A16" s="182" t="s">
        <v>348</v>
      </c>
      <c r="B16" s="183">
        <v>0</v>
      </c>
      <c r="D16" s="145"/>
      <c r="E16" s="145"/>
      <c r="F16" s="145"/>
      <c r="G16" s="145"/>
      <c r="H16" s="145"/>
      <c r="I16" s="145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</row>
    <row r="17" spans="1:123" x14ac:dyDescent="0.35">
      <c r="D17" s="145"/>
      <c r="E17" s="145"/>
      <c r="F17" s="145"/>
      <c r="G17" s="145"/>
      <c r="H17" s="145"/>
      <c r="I17" s="145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</row>
    <row r="18" spans="1:123" x14ac:dyDescent="0.35">
      <c r="A18" s="145"/>
      <c r="B18" s="145"/>
      <c r="C18" s="145"/>
      <c r="D18" s="145"/>
      <c r="E18" s="145"/>
      <c r="F18" s="145"/>
      <c r="G18" s="145"/>
      <c r="H18" s="145"/>
      <c r="I18" s="145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</row>
    <row r="19" spans="1:123" x14ac:dyDescent="0.35">
      <c r="A19" s="145"/>
      <c r="B19" s="145"/>
      <c r="C19" s="145"/>
      <c r="D19" s="145"/>
      <c r="E19" s="145"/>
      <c r="F19" s="145"/>
      <c r="G19" s="145"/>
      <c r="H19" s="145"/>
      <c r="I19" s="145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</row>
    <row r="20" spans="1:123" ht="15" customHeight="1" x14ac:dyDescent="0.35">
      <c r="A20" s="145"/>
      <c r="B20" s="145"/>
      <c r="C20" s="145"/>
      <c r="D20" s="145"/>
      <c r="E20" s="145"/>
      <c r="F20" s="145"/>
      <c r="G20" s="145"/>
      <c r="H20" s="145"/>
      <c r="I20" s="145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</row>
    <row r="21" spans="1:123" ht="15" customHeight="1" x14ac:dyDescent="0.35">
      <c r="A21" s="145"/>
      <c r="B21" s="145"/>
      <c r="C21" s="145"/>
      <c r="D21" s="145"/>
      <c r="E21" s="145"/>
      <c r="F21" s="145"/>
      <c r="G21" s="145"/>
      <c r="H21" s="145"/>
      <c r="I21" s="145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</row>
    <row r="22" spans="1:123" ht="18" customHeight="1" x14ac:dyDescent="0.35">
      <c r="D22" s="145"/>
      <c r="E22" s="145"/>
      <c r="F22" s="145"/>
      <c r="G22" s="145"/>
      <c r="H22" s="145"/>
      <c r="I22" s="145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</row>
    <row r="23" spans="1:123" ht="18" customHeight="1" x14ac:dyDescent="0.35">
      <c r="D23" s="145"/>
      <c r="E23" s="145"/>
      <c r="F23" s="145"/>
      <c r="G23" s="145"/>
      <c r="H23" s="145"/>
      <c r="I23" s="145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</row>
    <row r="24" spans="1:123" ht="18" customHeight="1" x14ac:dyDescent="0.35">
      <c r="E24" s="145"/>
      <c r="F24" s="145"/>
      <c r="G24" s="145"/>
      <c r="H24" s="145"/>
      <c r="I24" s="145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</row>
    <row r="25" spans="1:123" ht="18" customHeight="1" x14ac:dyDescent="0.35">
      <c r="E25" s="145"/>
      <c r="F25" s="145"/>
      <c r="G25" s="145"/>
      <c r="H25" s="145"/>
      <c r="I25" s="145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</row>
    <row r="26" spans="1:123" ht="18" customHeight="1" x14ac:dyDescent="0.35">
      <c r="E26" s="145"/>
      <c r="F26" s="145"/>
      <c r="G26" s="145"/>
      <c r="H26" s="145"/>
      <c r="I26" s="145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</row>
    <row r="27" spans="1:123" ht="18" customHeight="1" x14ac:dyDescent="0.35">
      <c r="E27" s="145"/>
      <c r="F27" s="145"/>
      <c r="G27" s="145"/>
      <c r="H27" s="145"/>
      <c r="I27" s="145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</row>
    <row r="28" spans="1:123" ht="18" customHeight="1" x14ac:dyDescent="0.35">
      <c r="E28" s="145"/>
      <c r="F28" s="145"/>
      <c r="G28" s="145"/>
      <c r="H28" s="145"/>
      <c r="I28" s="145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</row>
    <row r="29" spans="1:123" ht="18" customHeight="1" x14ac:dyDescent="0.35">
      <c r="E29" s="145"/>
      <c r="F29" s="145"/>
      <c r="G29" s="145"/>
      <c r="H29" s="145"/>
      <c r="I29" s="145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</row>
    <row r="30" spans="1:123" ht="18" customHeight="1" x14ac:dyDescent="0.35">
      <c r="E30" s="145"/>
      <c r="F30" s="145"/>
      <c r="G30" s="145"/>
      <c r="H30" s="145"/>
      <c r="I30" s="145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</row>
    <row r="31" spans="1:123" ht="18" customHeight="1" x14ac:dyDescent="0.35">
      <c r="E31" s="145"/>
      <c r="F31" s="145"/>
      <c r="G31" s="145"/>
      <c r="H31" s="145"/>
      <c r="I31" s="145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</row>
    <row r="32" spans="1:123" ht="18" customHeight="1" x14ac:dyDescent="0.35">
      <c r="E32" s="145"/>
      <c r="F32" s="145"/>
      <c r="G32" s="145"/>
      <c r="H32" s="145"/>
      <c r="I32" s="145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</row>
    <row r="33" spans="1:123" ht="18" customHeight="1" x14ac:dyDescent="0.35">
      <c r="E33" s="145"/>
      <c r="F33" s="145"/>
      <c r="G33" s="145"/>
      <c r="H33" s="145"/>
      <c r="I33" s="145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</row>
    <row r="34" spans="1:123" ht="18" customHeight="1" x14ac:dyDescent="0.35">
      <c r="E34" s="145"/>
      <c r="F34" s="145"/>
      <c r="G34" s="145"/>
      <c r="H34" s="145"/>
      <c r="I34" s="145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</row>
    <row r="35" spans="1:123" ht="18" customHeight="1" x14ac:dyDescent="0.35">
      <c r="E35" s="145"/>
      <c r="F35" s="145"/>
      <c r="G35" s="145"/>
      <c r="H35" s="145"/>
      <c r="I35" s="145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</row>
    <row r="36" spans="1:123" ht="18" customHeight="1" x14ac:dyDescent="0.35">
      <c r="E36" s="145"/>
      <c r="F36" s="145"/>
      <c r="G36" s="145"/>
      <c r="H36" s="145"/>
      <c r="I36" s="145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</row>
    <row r="37" spans="1:123" ht="18" customHeight="1" x14ac:dyDescent="0.35">
      <c r="E37" s="145"/>
      <c r="F37" s="145"/>
      <c r="G37" s="145"/>
      <c r="H37" s="145"/>
      <c r="I37" s="145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</row>
    <row r="38" spans="1:123" ht="18" customHeight="1" x14ac:dyDescent="0.35">
      <c r="E38" s="145"/>
      <c r="F38" s="145"/>
      <c r="G38" s="145"/>
      <c r="H38" s="145"/>
      <c r="I38" s="145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</row>
    <row r="39" spans="1:123" s="190" customFormat="1" ht="18" customHeight="1" x14ac:dyDescent="0.35">
      <c r="A39" s="144"/>
      <c r="B39" s="144"/>
      <c r="C39" s="144"/>
      <c r="D39" s="144"/>
      <c r="E39" s="145"/>
      <c r="F39" s="145"/>
      <c r="G39" s="145"/>
      <c r="H39" s="145"/>
      <c r="I39" s="145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</row>
    <row r="40" spans="1:123" s="190" customFormat="1" ht="18" customHeight="1" x14ac:dyDescent="0.35">
      <c r="A40" s="144"/>
      <c r="B40" s="144"/>
      <c r="C40" s="144"/>
      <c r="D40" s="144"/>
      <c r="E40" s="145"/>
      <c r="F40" s="145"/>
      <c r="G40" s="145"/>
      <c r="H40" s="145"/>
      <c r="I40" s="145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</row>
    <row r="41" spans="1:123" s="190" customFormat="1" ht="18" customHeight="1" x14ac:dyDescent="0.35">
      <c r="A41" s="144"/>
      <c r="B41" s="144"/>
      <c r="C41" s="144"/>
      <c r="D41" s="144"/>
      <c r="E41" s="145"/>
      <c r="F41" s="145"/>
      <c r="G41" s="145"/>
      <c r="H41" s="145"/>
      <c r="I41" s="145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</row>
    <row r="42" spans="1:123" s="190" customFormat="1" ht="18" customHeight="1" x14ac:dyDescent="0.35">
      <c r="A42" s="144"/>
      <c r="B42" s="144"/>
      <c r="C42" s="144"/>
      <c r="D42" s="144"/>
      <c r="E42" s="145"/>
      <c r="F42" s="145"/>
      <c r="G42" s="145"/>
      <c r="H42" s="145"/>
      <c r="I42" s="145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</row>
    <row r="43" spans="1:123" s="190" customFormat="1" ht="18" customHeight="1" x14ac:dyDescent="0.35">
      <c r="A43" s="144"/>
      <c r="B43" s="144"/>
      <c r="C43" s="144"/>
      <c r="D43" s="144"/>
      <c r="E43" s="145"/>
      <c r="F43" s="145"/>
      <c r="G43" s="145"/>
      <c r="H43" s="145"/>
      <c r="I43" s="145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</row>
    <row r="44" spans="1:123" s="190" customFormat="1" ht="18" customHeight="1" x14ac:dyDescent="0.35">
      <c r="A44" s="144"/>
      <c r="B44" s="144"/>
      <c r="C44" s="144"/>
      <c r="D44" s="144"/>
      <c r="E44" s="145"/>
      <c r="F44" s="145"/>
      <c r="G44" s="145"/>
      <c r="H44" s="145"/>
      <c r="I44" s="145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</row>
    <row r="45" spans="1:123" s="190" customFormat="1" ht="18" customHeight="1" x14ac:dyDescent="0.35">
      <c r="A45" s="144"/>
      <c r="B45" s="144"/>
      <c r="C45" s="144"/>
      <c r="D45" s="144"/>
      <c r="E45" s="145"/>
      <c r="F45" s="145"/>
      <c r="G45" s="145"/>
      <c r="H45" s="145"/>
      <c r="I45" s="145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</row>
    <row r="46" spans="1:123" s="190" customFormat="1" ht="18" customHeight="1" x14ac:dyDescent="0.35">
      <c r="A46" s="144"/>
      <c r="B46" s="144"/>
      <c r="C46" s="144"/>
      <c r="D46" s="144"/>
      <c r="E46" s="145"/>
      <c r="F46" s="145"/>
      <c r="G46" s="145"/>
      <c r="H46" s="145"/>
      <c r="I46" s="145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</row>
    <row r="47" spans="1:123" s="190" customFormat="1" ht="18" customHeight="1" x14ac:dyDescent="0.35">
      <c r="A47" s="144"/>
      <c r="B47" s="144"/>
      <c r="C47" s="144"/>
      <c r="D47" s="144"/>
      <c r="E47" s="145"/>
      <c r="F47" s="145"/>
      <c r="G47" s="145"/>
      <c r="H47" s="145"/>
      <c r="I47" s="145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</row>
    <row r="48" spans="1:123" s="190" customFormat="1" ht="18" customHeight="1" x14ac:dyDescent="0.35">
      <c r="A48" s="144"/>
      <c r="B48" s="144"/>
      <c r="C48" s="144"/>
      <c r="D48" s="144"/>
      <c r="E48" s="145"/>
      <c r="F48" s="145"/>
      <c r="G48" s="145"/>
      <c r="H48" s="145"/>
      <c r="I48" s="145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</row>
    <row r="49" spans="1:123" s="190" customFormat="1" ht="18" customHeight="1" x14ac:dyDescent="0.35">
      <c r="A49" s="144"/>
      <c r="B49" s="144"/>
      <c r="C49" s="144"/>
      <c r="D49" s="144"/>
      <c r="E49" s="145"/>
      <c r="F49" s="145"/>
      <c r="G49" s="145"/>
      <c r="H49" s="145"/>
      <c r="I49" s="145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</row>
    <row r="50" spans="1:123" s="190" customFormat="1" ht="18" customHeight="1" x14ac:dyDescent="0.35">
      <c r="A50" s="144"/>
      <c r="B50" s="144"/>
      <c r="C50" s="144"/>
      <c r="D50" s="144"/>
      <c r="E50" s="145"/>
      <c r="F50" s="145"/>
      <c r="G50" s="145"/>
      <c r="H50" s="145"/>
      <c r="I50" s="145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</row>
    <row r="51" spans="1:123" s="190" customFormat="1" ht="18" customHeight="1" x14ac:dyDescent="0.35">
      <c r="A51" s="144"/>
      <c r="B51" s="144"/>
      <c r="C51" s="144"/>
      <c r="D51" s="144"/>
      <c r="E51" s="145"/>
      <c r="F51" s="145"/>
      <c r="G51" s="145"/>
      <c r="H51" s="145"/>
      <c r="I51" s="145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</row>
    <row r="52" spans="1:123" s="190" customFormat="1" ht="18" customHeight="1" x14ac:dyDescent="0.35">
      <c r="A52" s="144"/>
      <c r="B52" s="144"/>
      <c r="C52" s="144"/>
      <c r="D52" s="144"/>
      <c r="E52" s="145"/>
      <c r="F52" s="145"/>
      <c r="G52" s="145"/>
      <c r="H52" s="145"/>
      <c r="I52" s="145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</row>
    <row r="53" spans="1:123" s="190" customFormat="1" ht="18" customHeight="1" x14ac:dyDescent="0.35">
      <c r="A53" s="144"/>
      <c r="B53" s="144"/>
      <c r="C53" s="144"/>
      <c r="D53" s="144"/>
      <c r="E53" s="145"/>
      <c r="F53" s="145"/>
      <c r="G53" s="145"/>
      <c r="H53" s="145"/>
      <c r="I53" s="145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</row>
    <row r="54" spans="1:123" s="190" customFormat="1" ht="18" customHeight="1" x14ac:dyDescent="0.35"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</row>
    <row r="55" spans="1:123" s="190" customFormat="1" ht="18" customHeight="1" x14ac:dyDescent="0.35"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</row>
    <row r="56" spans="1:123" s="190" customFormat="1" ht="18" customHeight="1" x14ac:dyDescent="0.35"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</row>
    <row r="57" spans="1:123" s="190" customFormat="1" ht="18" customHeight="1" x14ac:dyDescent="0.35"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</row>
    <row r="58" spans="1:123" s="190" customFormat="1" ht="18" customHeight="1" x14ac:dyDescent="0.35"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</row>
    <row r="59" spans="1:123" s="190" customFormat="1" ht="18" customHeight="1" x14ac:dyDescent="0.35"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</row>
    <row r="60" spans="1:123" s="190" customFormat="1" ht="18" customHeight="1" x14ac:dyDescent="0.35"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</row>
    <row r="61" spans="1:123" s="190" customFormat="1" ht="18" customHeight="1" x14ac:dyDescent="0.35"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</row>
    <row r="62" spans="1:123" s="190" customFormat="1" ht="18" customHeight="1" x14ac:dyDescent="0.35"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</row>
    <row r="63" spans="1:123" s="190" customFormat="1" ht="18" customHeight="1" x14ac:dyDescent="0.35"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</row>
    <row r="64" spans="1:123" s="190" customFormat="1" ht="18" customHeight="1" x14ac:dyDescent="0.35"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</row>
    <row r="65" spans="5:123" s="190" customFormat="1" ht="18" customHeight="1" x14ac:dyDescent="0.35"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</row>
    <row r="66" spans="5:123" s="190" customFormat="1" ht="18" customHeight="1" x14ac:dyDescent="0.35"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</row>
    <row r="67" spans="5:123" s="190" customFormat="1" ht="18" customHeight="1" x14ac:dyDescent="0.35"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</row>
    <row r="68" spans="5:123" s="190" customFormat="1" ht="18" customHeight="1" x14ac:dyDescent="0.35"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</row>
    <row r="69" spans="5:123" s="190" customFormat="1" ht="18" customHeight="1" x14ac:dyDescent="0.35"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</row>
    <row r="70" spans="5:123" s="190" customFormat="1" ht="18" customHeight="1" x14ac:dyDescent="0.35"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</row>
    <row r="71" spans="5:123" s="190" customFormat="1" ht="18" customHeight="1" x14ac:dyDescent="0.35"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</row>
    <row r="72" spans="5:123" s="190" customFormat="1" ht="18" customHeight="1" x14ac:dyDescent="0.35"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</row>
    <row r="73" spans="5:123" s="190" customFormat="1" ht="18" customHeight="1" x14ac:dyDescent="0.35"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</row>
    <row r="74" spans="5:123" s="190" customFormat="1" ht="18" customHeight="1" x14ac:dyDescent="0.35"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</row>
    <row r="75" spans="5:123" s="190" customFormat="1" ht="18" customHeight="1" x14ac:dyDescent="0.35"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</row>
    <row r="76" spans="5:123" s="190" customFormat="1" ht="18" customHeight="1" x14ac:dyDescent="0.35"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</row>
    <row r="77" spans="5:123" s="190" customFormat="1" ht="18" customHeight="1" x14ac:dyDescent="0.35"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</row>
    <row r="78" spans="5:123" s="190" customFormat="1" ht="18" customHeight="1" x14ac:dyDescent="0.35"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</row>
    <row r="79" spans="5:123" s="190" customFormat="1" ht="18" customHeight="1" x14ac:dyDescent="0.35"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</row>
    <row r="80" spans="5:123" s="190" customFormat="1" ht="18" customHeight="1" x14ac:dyDescent="0.35"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</row>
    <row r="81" spans="5:123" s="190" customFormat="1" ht="18" customHeight="1" x14ac:dyDescent="0.35"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</row>
    <row r="82" spans="5:123" s="190" customFormat="1" ht="18" customHeight="1" x14ac:dyDescent="0.35"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</row>
    <row r="83" spans="5:123" s="190" customFormat="1" ht="18" customHeight="1" x14ac:dyDescent="0.35"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</row>
    <row r="84" spans="5:123" s="190" customFormat="1" ht="18" customHeight="1" x14ac:dyDescent="0.35"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</row>
    <row r="85" spans="5:123" s="190" customFormat="1" ht="18" customHeight="1" x14ac:dyDescent="0.35"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</row>
    <row r="86" spans="5:123" s="190" customFormat="1" ht="18" customHeight="1" x14ac:dyDescent="0.35"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</row>
    <row r="87" spans="5:123" s="190" customFormat="1" ht="18" customHeight="1" x14ac:dyDescent="0.35"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</row>
    <row r="88" spans="5:123" s="190" customFormat="1" ht="18" customHeight="1" x14ac:dyDescent="0.35"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</row>
    <row r="89" spans="5:123" s="190" customFormat="1" ht="18" customHeight="1" x14ac:dyDescent="0.35"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</row>
    <row r="90" spans="5:123" s="190" customFormat="1" ht="18" customHeight="1" x14ac:dyDescent="0.35"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</row>
    <row r="91" spans="5:123" s="190" customFormat="1" ht="18" customHeight="1" x14ac:dyDescent="0.35"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</row>
    <row r="92" spans="5:123" s="190" customFormat="1" ht="18" customHeight="1" x14ac:dyDescent="0.35"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</row>
    <row r="93" spans="5:123" s="190" customFormat="1" ht="18" customHeight="1" x14ac:dyDescent="0.35"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  <c r="DC93" s="189"/>
      <c r="DD93" s="189"/>
      <c r="DE93" s="189"/>
      <c r="DF93" s="189"/>
      <c r="DG93" s="189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</row>
    <row r="94" spans="5:123" s="190" customFormat="1" ht="18" customHeight="1" x14ac:dyDescent="0.35"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</row>
    <row r="95" spans="5:123" s="190" customFormat="1" ht="18" customHeight="1" x14ac:dyDescent="0.35"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</row>
    <row r="96" spans="5:123" s="190" customFormat="1" ht="18" customHeight="1" x14ac:dyDescent="0.35"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</row>
    <row r="97" spans="5:123" s="190" customFormat="1" ht="18" customHeight="1" x14ac:dyDescent="0.35"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</row>
    <row r="98" spans="5:123" s="190" customFormat="1" ht="18" customHeight="1" x14ac:dyDescent="0.35"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</row>
    <row r="99" spans="5:123" s="190" customFormat="1" ht="18" customHeight="1" x14ac:dyDescent="0.35"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</row>
    <row r="100" spans="5:123" s="190" customFormat="1" ht="18" customHeight="1" x14ac:dyDescent="0.35"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</row>
    <row r="101" spans="5:123" s="190" customFormat="1" ht="18" customHeight="1" x14ac:dyDescent="0.35"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</row>
    <row r="102" spans="5:123" s="190" customFormat="1" ht="18" customHeight="1" x14ac:dyDescent="0.35"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</row>
    <row r="103" spans="5:123" s="190" customFormat="1" ht="18" customHeight="1" x14ac:dyDescent="0.35"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</row>
    <row r="104" spans="5:123" s="190" customFormat="1" ht="18" customHeight="1" x14ac:dyDescent="0.35"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</row>
    <row r="105" spans="5:123" s="190" customFormat="1" ht="18" customHeight="1" x14ac:dyDescent="0.35"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</row>
    <row r="106" spans="5:123" s="190" customFormat="1" ht="18" customHeight="1" x14ac:dyDescent="0.35"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</row>
    <row r="107" spans="5:123" s="190" customFormat="1" ht="18" customHeight="1" x14ac:dyDescent="0.35"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</row>
    <row r="108" spans="5:123" s="190" customFormat="1" ht="18" customHeight="1" x14ac:dyDescent="0.35"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</row>
    <row r="109" spans="5:123" s="190" customFormat="1" ht="18" customHeight="1" x14ac:dyDescent="0.35"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</row>
    <row r="110" spans="5:123" s="190" customFormat="1" ht="18" customHeight="1" x14ac:dyDescent="0.35"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</row>
    <row r="111" spans="5:123" s="190" customFormat="1" ht="18" customHeight="1" x14ac:dyDescent="0.35"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</row>
    <row r="112" spans="5:123" s="190" customFormat="1" ht="18" customHeight="1" x14ac:dyDescent="0.35"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</row>
    <row r="113" spans="5:123" s="190" customFormat="1" ht="18" customHeight="1" x14ac:dyDescent="0.35"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</row>
    <row r="114" spans="5:123" s="190" customFormat="1" ht="18" customHeight="1" x14ac:dyDescent="0.35"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</row>
    <row r="115" spans="5:123" s="190" customFormat="1" ht="18" customHeight="1" x14ac:dyDescent="0.35"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</row>
    <row r="116" spans="5:123" s="190" customFormat="1" ht="18" customHeight="1" x14ac:dyDescent="0.35"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</row>
    <row r="117" spans="5:123" s="190" customFormat="1" ht="18" customHeight="1" x14ac:dyDescent="0.35"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</row>
    <row r="118" spans="5:123" s="190" customFormat="1" ht="18" customHeight="1" x14ac:dyDescent="0.35"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</row>
    <row r="119" spans="5:123" s="190" customFormat="1" ht="18" customHeight="1" x14ac:dyDescent="0.35"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</row>
    <row r="120" spans="5:123" s="190" customFormat="1" ht="18" customHeight="1" x14ac:dyDescent="0.35"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</row>
    <row r="121" spans="5:123" s="190" customFormat="1" ht="18" customHeight="1" x14ac:dyDescent="0.35"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</row>
    <row r="122" spans="5:123" s="190" customFormat="1" ht="18" customHeight="1" x14ac:dyDescent="0.35"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</row>
    <row r="123" spans="5:123" s="190" customFormat="1" ht="18" customHeight="1" x14ac:dyDescent="0.35"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</row>
    <row r="124" spans="5:123" s="190" customFormat="1" ht="18" customHeight="1" x14ac:dyDescent="0.35"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</row>
    <row r="125" spans="5:123" s="190" customFormat="1" ht="18" customHeight="1" x14ac:dyDescent="0.35"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</row>
    <row r="126" spans="5:123" s="190" customFormat="1" ht="18" customHeight="1" x14ac:dyDescent="0.35"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</row>
    <row r="127" spans="5:123" s="190" customFormat="1" ht="18" customHeight="1" x14ac:dyDescent="0.35"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</row>
    <row r="128" spans="5:123" s="190" customFormat="1" ht="18" customHeight="1" x14ac:dyDescent="0.35"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</row>
    <row r="129" spans="5:123" s="190" customFormat="1" ht="18" customHeight="1" x14ac:dyDescent="0.35"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</row>
    <row r="130" spans="5:123" s="190" customFormat="1" ht="18" customHeight="1" x14ac:dyDescent="0.35"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</row>
    <row r="131" spans="5:123" s="190" customFormat="1" ht="18" customHeight="1" x14ac:dyDescent="0.35"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</row>
    <row r="132" spans="5:123" s="190" customFormat="1" ht="18" customHeight="1" x14ac:dyDescent="0.35"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</row>
    <row r="133" spans="5:123" s="190" customFormat="1" ht="18" customHeight="1" x14ac:dyDescent="0.35"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</row>
    <row r="134" spans="5:123" s="190" customFormat="1" ht="18" customHeight="1" x14ac:dyDescent="0.35"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</row>
    <row r="135" spans="5:123" s="190" customFormat="1" ht="18" customHeight="1" x14ac:dyDescent="0.35"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</row>
    <row r="136" spans="5:123" s="190" customFormat="1" ht="18" customHeight="1" x14ac:dyDescent="0.35"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</row>
    <row r="137" spans="5:123" s="190" customFormat="1" ht="18" customHeight="1" x14ac:dyDescent="0.35"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</row>
    <row r="138" spans="5:123" s="190" customFormat="1" ht="18" customHeight="1" x14ac:dyDescent="0.35"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</row>
    <row r="139" spans="5:123" s="190" customFormat="1" ht="18" customHeight="1" x14ac:dyDescent="0.35"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</row>
    <row r="140" spans="5:123" s="190" customFormat="1" ht="18" customHeight="1" x14ac:dyDescent="0.35"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</row>
    <row r="141" spans="5:123" s="190" customFormat="1" ht="18" customHeight="1" x14ac:dyDescent="0.35"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</row>
    <row r="142" spans="5:123" s="190" customFormat="1" ht="18" customHeight="1" x14ac:dyDescent="0.35"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</row>
    <row r="143" spans="5:123" s="190" customFormat="1" ht="18" customHeight="1" x14ac:dyDescent="0.35"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</row>
    <row r="144" spans="5:123" s="190" customFormat="1" ht="18" customHeight="1" x14ac:dyDescent="0.35"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</row>
    <row r="145" spans="5:123" s="190" customFormat="1" ht="18" customHeight="1" x14ac:dyDescent="0.35"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</row>
    <row r="146" spans="5:123" s="190" customFormat="1" ht="18" customHeight="1" x14ac:dyDescent="0.35"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</row>
    <row r="147" spans="5:123" s="190" customFormat="1" ht="18" customHeight="1" x14ac:dyDescent="0.35"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</row>
    <row r="148" spans="5:123" s="190" customFormat="1" ht="18" customHeight="1" x14ac:dyDescent="0.35"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</row>
    <row r="149" spans="5:123" s="190" customFormat="1" ht="18" customHeight="1" x14ac:dyDescent="0.35"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</row>
    <row r="150" spans="5:123" s="190" customFormat="1" ht="18" customHeight="1" x14ac:dyDescent="0.35"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</row>
    <row r="151" spans="5:123" s="190" customFormat="1" ht="18" customHeight="1" x14ac:dyDescent="0.35"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</row>
    <row r="152" spans="5:123" s="190" customFormat="1" ht="18" customHeight="1" x14ac:dyDescent="0.35"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</row>
    <row r="153" spans="5:123" s="190" customFormat="1" ht="18" customHeight="1" x14ac:dyDescent="0.35"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</row>
    <row r="154" spans="5:123" s="190" customFormat="1" ht="18" customHeight="1" x14ac:dyDescent="0.35"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</row>
    <row r="155" spans="5:123" s="190" customFormat="1" ht="18" customHeight="1" x14ac:dyDescent="0.35"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</row>
    <row r="156" spans="5:123" s="190" customFormat="1" ht="18" customHeight="1" x14ac:dyDescent="0.35"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</row>
    <row r="157" spans="5:123" s="190" customFormat="1" ht="18" customHeight="1" x14ac:dyDescent="0.35"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</row>
    <row r="158" spans="5:123" s="190" customFormat="1" ht="18" customHeight="1" x14ac:dyDescent="0.35"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</row>
    <row r="159" spans="5:123" s="190" customFormat="1" ht="18" customHeight="1" x14ac:dyDescent="0.35"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</row>
    <row r="160" spans="5:123" s="190" customFormat="1" ht="18" customHeight="1" x14ac:dyDescent="0.35"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</row>
    <row r="161" spans="5:123" s="190" customFormat="1" ht="18" customHeight="1" x14ac:dyDescent="0.35"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</row>
    <row r="162" spans="5:123" s="190" customFormat="1" ht="18" customHeight="1" x14ac:dyDescent="0.35"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</row>
    <row r="163" spans="5:123" s="190" customFormat="1" ht="18" customHeight="1" x14ac:dyDescent="0.35"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</row>
    <row r="164" spans="5:123" s="190" customFormat="1" ht="18" customHeight="1" x14ac:dyDescent="0.35"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</row>
    <row r="165" spans="5:123" s="190" customFormat="1" ht="18" customHeight="1" x14ac:dyDescent="0.35"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</row>
    <row r="166" spans="5:123" s="190" customFormat="1" ht="18" customHeight="1" x14ac:dyDescent="0.35"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</row>
    <row r="167" spans="5:123" s="190" customFormat="1" ht="18" customHeight="1" x14ac:dyDescent="0.35"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</row>
    <row r="168" spans="5:123" s="190" customFormat="1" ht="18" customHeight="1" x14ac:dyDescent="0.35"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</row>
    <row r="169" spans="5:123" s="190" customFormat="1" ht="18" customHeight="1" x14ac:dyDescent="0.35"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</row>
    <row r="170" spans="5:123" s="190" customFormat="1" ht="18" customHeight="1" x14ac:dyDescent="0.35"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</row>
    <row r="171" spans="5:123" s="190" customFormat="1" ht="18" customHeight="1" x14ac:dyDescent="0.35"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</row>
    <row r="172" spans="5:123" s="190" customFormat="1" ht="18" customHeight="1" x14ac:dyDescent="0.35"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</row>
    <row r="173" spans="5:123" s="190" customFormat="1" ht="18" customHeight="1" x14ac:dyDescent="0.35"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</row>
    <row r="174" spans="5:123" s="190" customFormat="1" ht="18" customHeight="1" x14ac:dyDescent="0.35"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</row>
    <row r="175" spans="5:123" s="190" customFormat="1" ht="18" customHeight="1" x14ac:dyDescent="0.35"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</row>
    <row r="176" spans="5:123" s="190" customFormat="1" ht="18" customHeight="1" x14ac:dyDescent="0.35"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</row>
    <row r="177" spans="5:123" s="190" customFormat="1" ht="18" customHeight="1" x14ac:dyDescent="0.35"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</row>
    <row r="178" spans="5:123" s="190" customFormat="1" ht="18" customHeight="1" x14ac:dyDescent="0.35"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</row>
    <row r="179" spans="5:123" s="190" customFormat="1" ht="18" customHeight="1" x14ac:dyDescent="0.35"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</row>
    <row r="180" spans="5:123" s="190" customFormat="1" ht="18" customHeight="1" x14ac:dyDescent="0.35"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</row>
    <row r="181" spans="5:123" s="190" customFormat="1" ht="18" customHeight="1" x14ac:dyDescent="0.35"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</row>
    <row r="182" spans="5:123" s="190" customFormat="1" ht="18" customHeight="1" x14ac:dyDescent="0.35"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</row>
    <row r="183" spans="5:123" s="190" customFormat="1" ht="18" customHeight="1" x14ac:dyDescent="0.35"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</row>
    <row r="184" spans="5:123" s="190" customFormat="1" ht="18" customHeight="1" x14ac:dyDescent="0.35"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</row>
    <row r="185" spans="5:123" s="190" customFormat="1" ht="18" customHeight="1" x14ac:dyDescent="0.35"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</row>
    <row r="186" spans="5:123" s="190" customFormat="1" ht="18" customHeight="1" x14ac:dyDescent="0.35"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</row>
    <row r="187" spans="5:123" s="190" customFormat="1" ht="18" customHeight="1" x14ac:dyDescent="0.35"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</row>
    <row r="188" spans="5:123" s="190" customFormat="1" ht="18" customHeight="1" x14ac:dyDescent="0.35"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</row>
    <row r="189" spans="5:123" s="190" customFormat="1" ht="18" customHeight="1" x14ac:dyDescent="0.35"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</row>
    <row r="190" spans="5:123" s="190" customFormat="1" ht="18" customHeight="1" x14ac:dyDescent="0.35"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</row>
    <row r="191" spans="5:123" s="190" customFormat="1" ht="18" customHeight="1" x14ac:dyDescent="0.35"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</row>
    <row r="192" spans="5:123" s="190" customFormat="1" ht="18" customHeight="1" x14ac:dyDescent="0.35"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</row>
    <row r="193" spans="5:123" s="190" customFormat="1" ht="18" customHeight="1" x14ac:dyDescent="0.35"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</row>
    <row r="194" spans="5:123" s="190" customFormat="1" ht="18" customHeight="1" x14ac:dyDescent="0.35"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</row>
    <row r="195" spans="5:123" s="190" customFormat="1" ht="18" customHeight="1" x14ac:dyDescent="0.35"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</row>
    <row r="196" spans="5:123" s="190" customFormat="1" ht="18" customHeight="1" x14ac:dyDescent="0.35"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</row>
    <row r="197" spans="5:123" s="190" customFormat="1" ht="18" customHeight="1" x14ac:dyDescent="0.35"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</row>
    <row r="198" spans="5:123" s="190" customFormat="1" ht="18" customHeight="1" x14ac:dyDescent="0.35"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</row>
    <row r="199" spans="5:123" s="190" customFormat="1" ht="18" customHeight="1" x14ac:dyDescent="0.35"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</row>
    <row r="200" spans="5:123" s="190" customFormat="1" ht="18" customHeight="1" x14ac:dyDescent="0.35"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</row>
    <row r="201" spans="5:123" s="190" customFormat="1" ht="18" customHeight="1" x14ac:dyDescent="0.35"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</row>
    <row r="202" spans="5:123" s="190" customFormat="1" ht="18" customHeight="1" x14ac:dyDescent="0.35"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</row>
    <row r="203" spans="5:123" s="190" customFormat="1" ht="18" customHeight="1" x14ac:dyDescent="0.35"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</row>
    <row r="204" spans="5:123" s="190" customFormat="1" ht="18" customHeight="1" x14ac:dyDescent="0.35"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</row>
    <row r="205" spans="5:123" s="190" customFormat="1" ht="18" customHeight="1" x14ac:dyDescent="0.35"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</row>
    <row r="206" spans="5:123" s="190" customFormat="1" ht="18" customHeight="1" x14ac:dyDescent="0.35"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</row>
    <row r="207" spans="5:123" s="190" customFormat="1" ht="18" customHeight="1" x14ac:dyDescent="0.35"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</row>
    <row r="208" spans="5:123" s="190" customFormat="1" ht="18" customHeight="1" x14ac:dyDescent="0.35"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</row>
    <row r="209" spans="5:123" s="190" customFormat="1" ht="18" customHeight="1" x14ac:dyDescent="0.35"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</row>
    <row r="210" spans="5:123" s="190" customFormat="1" ht="18" customHeight="1" x14ac:dyDescent="0.35"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</row>
    <row r="211" spans="5:123" s="190" customFormat="1" ht="18" customHeight="1" x14ac:dyDescent="0.35"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</row>
    <row r="212" spans="5:123" s="190" customFormat="1" ht="18" customHeight="1" x14ac:dyDescent="0.35"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</row>
    <row r="213" spans="5:123" s="190" customFormat="1" ht="18" customHeight="1" x14ac:dyDescent="0.35"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</row>
    <row r="214" spans="5:123" s="190" customFormat="1" ht="18" customHeight="1" x14ac:dyDescent="0.35"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</row>
    <row r="215" spans="5:123" s="190" customFormat="1" ht="18" customHeight="1" x14ac:dyDescent="0.35"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</row>
    <row r="216" spans="5:123" s="190" customFormat="1" ht="18" customHeight="1" x14ac:dyDescent="0.35"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</row>
    <row r="217" spans="5:123" s="190" customFormat="1" ht="18" customHeight="1" x14ac:dyDescent="0.35"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</row>
    <row r="218" spans="5:123" s="190" customFormat="1" ht="18" customHeight="1" x14ac:dyDescent="0.35"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</row>
    <row r="219" spans="5:123" s="190" customFormat="1" ht="18" customHeight="1" x14ac:dyDescent="0.35"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</row>
    <row r="220" spans="5:123" s="190" customFormat="1" ht="18" customHeight="1" x14ac:dyDescent="0.35"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</row>
    <row r="221" spans="5:123" s="190" customFormat="1" ht="18" customHeight="1" x14ac:dyDescent="0.35"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</row>
    <row r="222" spans="5:123" s="190" customFormat="1" ht="18" customHeight="1" x14ac:dyDescent="0.35"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</row>
    <row r="223" spans="5:123" s="190" customFormat="1" ht="18" customHeight="1" x14ac:dyDescent="0.35"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</row>
    <row r="224" spans="5:123" s="190" customFormat="1" ht="18" customHeight="1" x14ac:dyDescent="0.35"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</row>
    <row r="225" spans="5:123" s="190" customFormat="1" ht="18" customHeight="1" x14ac:dyDescent="0.35"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</row>
    <row r="226" spans="5:123" s="190" customFormat="1" ht="18" customHeight="1" x14ac:dyDescent="0.35"/>
    <row r="227" spans="5:123" s="190" customFormat="1" ht="18" customHeight="1" x14ac:dyDescent="0.35"/>
    <row r="228" spans="5:123" s="190" customFormat="1" ht="18" customHeight="1" x14ac:dyDescent="0.35"/>
    <row r="229" spans="5:123" s="190" customFormat="1" ht="18" customHeight="1" x14ac:dyDescent="0.35"/>
    <row r="230" spans="5:123" s="190" customFormat="1" ht="18" customHeight="1" x14ac:dyDescent="0.35"/>
    <row r="231" spans="5:123" s="190" customFormat="1" ht="18" customHeight="1" x14ac:dyDescent="0.35"/>
    <row r="232" spans="5:123" s="190" customFormat="1" ht="18" customHeight="1" x14ac:dyDescent="0.35"/>
    <row r="233" spans="5:123" s="190" customFormat="1" ht="18" customHeight="1" x14ac:dyDescent="0.35"/>
    <row r="234" spans="5:123" s="190" customFormat="1" ht="18" customHeight="1" x14ac:dyDescent="0.35"/>
    <row r="235" spans="5:123" s="190" customFormat="1" ht="18" customHeight="1" x14ac:dyDescent="0.35"/>
    <row r="236" spans="5:123" s="190" customFormat="1" ht="18" customHeight="1" x14ac:dyDescent="0.35"/>
    <row r="237" spans="5:123" s="190" customFormat="1" ht="18" customHeight="1" x14ac:dyDescent="0.35"/>
    <row r="238" spans="5:123" s="190" customFormat="1" ht="18" customHeight="1" x14ac:dyDescent="0.35"/>
    <row r="239" spans="5:123" s="190" customFormat="1" ht="18" customHeight="1" x14ac:dyDescent="0.35"/>
    <row r="240" spans="5:123" s="190" customFormat="1" ht="18" customHeight="1" x14ac:dyDescent="0.35"/>
    <row r="241" s="190" customFormat="1" ht="18" customHeight="1" x14ac:dyDescent="0.35"/>
    <row r="242" s="190" customFormat="1" ht="18" customHeight="1" x14ac:dyDescent="0.35"/>
    <row r="243" s="190" customFormat="1" ht="18" customHeight="1" x14ac:dyDescent="0.35"/>
    <row r="244" s="190" customFormat="1" ht="18" customHeight="1" x14ac:dyDescent="0.35"/>
    <row r="245" s="190" customFormat="1" ht="18" customHeight="1" x14ac:dyDescent="0.35"/>
    <row r="246" s="190" customFormat="1" ht="15" customHeight="1" x14ac:dyDescent="0.35"/>
    <row r="247" s="190" customFormat="1" ht="15" customHeight="1" x14ac:dyDescent="0.35"/>
    <row r="248" s="190" customFormat="1" ht="15" customHeight="1" x14ac:dyDescent="0.35"/>
    <row r="249" s="190" customFormat="1" ht="15" customHeight="1" x14ac:dyDescent="0.35"/>
    <row r="250" s="190" customFormat="1" ht="15" customHeight="1" x14ac:dyDescent="0.35"/>
    <row r="251" s="190" customFormat="1" ht="15" customHeight="1" x14ac:dyDescent="0.35"/>
    <row r="252" s="190" customFormat="1" ht="15" customHeight="1" x14ac:dyDescent="0.35"/>
    <row r="253" s="190" customFormat="1" ht="15" customHeight="1" x14ac:dyDescent="0.35"/>
    <row r="254" s="190" customFormat="1" ht="15" customHeight="1" x14ac:dyDescent="0.35"/>
    <row r="255" s="190" customFormat="1" ht="15" customHeight="1" x14ac:dyDescent="0.35"/>
    <row r="256" s="190" customFormat="1" ht="15" customHeight="1" x14ac:dyDescent="0.35"/>
    <row r="257" s="190" customFormat="1" ht="15" customHeight="1" x14ac:dyDescent="0.35"/>
    <row r="258" s="190" customFormat="1" ht="15" customHeight="1" x14ac:dyDescent="0.35"/>
    <row r="259" s="190" customFormat="1" ht="15" customHeight="1" x14ac:dyDescent="0.35"/>
    <row r="260" s="190" customFormat="1" ht="15" customHeight="1" x14ac:dyDescent="0.35"/>
    <row r="261" s="190" customFormat="1" ht="15" customHeight="1" x14ac:dyDescent="0.35"/>
    <row r="262" s="190" customFormat="1" ht="15" customHeight="1" x14ac:dyDescent="0.35"/>
    <row r="263" s="190" customFormat="1" ht="15" customHeight="1" x14ac:dyDescent="0.35"/>
    <row r="264" s="190" customFormat="1" ht="15" customHeight="1" x14ac:dyDescent="0.35"/>
    <row r="283" spans="128:130" ht="15" customHeight="1" x14ac:dyDescent="0.35">
      <c r="DX283" s="237" t="s">
        <v>373</v>
      </c>
      <c r="DY283" s="238"/>
      <c r="DZ283" s="239"/>
    </row>
    <row r="284" spans="128:130" ht="15" customHeight="1" x14ac:dyDescent="0.35">
      <c r="DX284" s="240" t="s">
        <v>265</v>
      </c>
      <c r="DY284" s="241"/>
      <c r="DZ284" s="152" t="str">
        <f>DZ306</f>
        <v>двусторонний</v>
      </c>
    </row>
    <row r="285" spans="128:130" ht="15" customHeight="1" x14ac:dyDescent="0.35">
      <c r="DX285" s="240" t="s">
        <v>278</v>
      </c>
      <c r="DY285" s="241"/>
      <c r="DZ285" s="173" t="str">
        <f>DZ307</f>
        <v>Полукруглый Slim GL 100 мм</v>
      </c>
    </row>
    <row r="286" spans="128:130" ht="15" customHeight="1" x14ac:dyDescent="0.35">
      <c r="DX286" s="175" t="s">
        <v>270</v>
      </c>
      <c r="DY286" s="164">
        <f>DZ309</f>
        <v>2490</v>
      </c>
      <c r="DZ286" s="192" t="str">
        <f>DZ311&amp;" шт"</f>
        <v>256 шт</v>
      </c>
    </row>
    <row r="287" spans="128:130" ht="15" customHeight="1" x14ac:dyDescent="0.35">
      <c r="DX287" s="175" t="s">
        <v>270</v>
      </c>
      <c r="DY287" s="194">
        <f>DZ330</f>
        <v>0</v>
      </c>
      <c r="DZ287" s="193" t="str">
        <f>DZ332&amp;" шт"</f>
        <v>0 шт</v>
      </c>
    </row>
    <row r="288" spans="128:130" ht="15" customHeight="1" x14ac:dyDescent="0.35">
      <c r="DX288" s="175" t="s">
        <v>270</v>
      </c>
      <c r="DY288" s="195">
        <f>DZ342</f>
        <v>1670</v>
      </c>
      <c r="DZ288" s="193" t="str">
        <f>EB348&amp;" шт"</f>
        <v>32 шт</v>
      </c>
    </row>
    <row r="289" spans="124:130" ht="15" customHeight="1" x14ac:dyDescent="0.35">
      <c r="DX289" s="175" t="s">
        <v>270</v>
      </c>
      <c r="DY289" s="195">
        <f>DZ343</f>
        <v>1670</v>
      </c>
      <c r="DZ289" s="193" t="str">
        <f>EC348&amp;" шт"</f>
        <v>32 шт</v>
      </c>
    </row>
    <row r="290" spans="124:130" ht="15" customHeight="1" x14ac:dyDescent="0.35">
      <c r="DX290" s="175" t="s">
        <v>270</v>
      </c>
      <c r="DY290" s="195">
        <f>DZ344</f>
        <v>0</v>
      </c>
      <c r="DZ290" s="193" t="str">
        <f>ED348&amp;" шт"</f>
        <v>0 шт</v>
      </c>
    </row>
    <row r="291" spans="124:130" ht="15" customHeight="1" x14ac:dyDescent="0.35">
      <c r="DX291" s="235" t="s">
        <v>280</v>
      </c>
      <c r="DY291" s="236"/>
      <c r="DZ291" s="174" t="str">
        <f>DZ313</f>
        <v>8 шт L= 2500 мм</v>
      </c>
    </row>
    <row r="292" spans="124:130" ht="15" customHeight="1" x14ac:dyDescent="0.35">
      <c r="DX292" s="242" t="s">
        <v>282</v>
      </c>
      <c r="DY292" s="175" t="s">
        <v>283</v>
      </c>
      <c r="DZ292" s="174" t="str">
        <f>DZ314</f>
        <v>18 шт L=2000 мм</v>
      </c>
    </row>
    <row r="293" spans="124:130" ht="15" customHeight="1" x14ac:dyDescent="0.35">
      <c r="DX293" s="243"/>
      <c r="DY293" s="175" t="s">
        <v>284</v>
      </c>
      <c r="DZ293" s="174" t="str">
        <f>DZ315</f>
        <v xml:space="preserve"> - </v>
      </c>
    </row>
    <row r="294" spans="124:130" ht="15" customHeight="1" x14ac:dyDescent="0.35">
      <c r="DX294" s="247" t="s">
        <v>286</v>
      </c>
      <c r="DY294" s="179" t="s">
        <v>287</v>
      </c>
      <c r="DZ294" s="174" t="str">
        <f>DZ316</f>
        <v>24 шт L= 2000 мм</v>
      </c>
    </row>
    <row r="295" spans="124:130" ht="15" customHeight="1" x14ac:dyDescent="0.35">
      <c r="DT295" s="145"/>
      <c r="DU295" s="145"/>
      <c r="DX295" s="248"/>
      <c r="DY295" s="179" t="s">
        <v>288</v>
      </c>
      <c r="DZ295" s="174" t="str">
        <f>DZ317</f>
        <v>24 шт L= 2000 мм</v>
      </c>
    </row>
    <row r="296" spans="124:130" ht="15" customHeight="1" x14ac:dyDescent="0.35">
      <c r="DT296" s="145"/>
      <c r="DU296" s="145"/>
      <c r="DX296" s="248"/>
      <c r="DY296" s="179" t="s">
        <v>287</v>
      </c>
      <c r="DZ296" s="180" t="str">
        <f>DZ333</f>
        <v>0 шт L= 0 мм</v>
      </c>
    </row>
    <row r="297" spans="124:130" ht="15" customHeight="1" x14ac:dyDescent="0.35">
      <c r="DT297" s="145"/>
      <c r="DU297" s="145"/>
      <c r="DX297" s="248"/>
      <c r="DY297" s="179" t="s">
        <v>288</v>
      </c>
      <c r="DZ297" s="180" t="str">
        <f>DZ334</f>
        <v>0 шт L= 0 мм</v>
      </c>
    </row>
    <row r="298" spans="124:130" ht="15" customHeight="1" x14ac:dyDescent="0.35">
      <c r="DT298" s="145"/>
      <c r="DU298" s="145"/>
      <c r="DX298" s="248"/>
      <c r="DY298" s="179" t="s">
        <v>287</v>
      </c>
      <c r="DZ298" s="180" t="str">
        <f>DZ347</f>
        <v>0 шт L= 2000 мм</v>
      </c>
    </row>
    <row r="299" spans="124:130" ht="15" customHeight="1" x14ac:dyDescent="0.35">
      <c r="DT299" s="145"/>
      <c r="DU299" s="145"/>
      <c r="DX299" s="249"/>
      <c r="DY299" s="179" t="s">
        <v>288</v>
      </c>
      <c r="DZ299" s="174" t="str">
        <f>DZ348</f>
        <v>0 шт L= 2000 мм</v>
      </c>
    </row>
    <row r="300" spans="124:130" ht="15" customHeight="1" x14ac:dyDescent="0.35">
      <c r="DT300" s="145"/>
      <c r="DU300" s="145"/>
      <c r="DX300" s="235" t="s">
        <v>289</v>
      </c>
      <c r="DY300" s="236"/>
      <c r="DZ300" s="181">
        <f>DZ318</f>
        <v>9</v>
      </c>
    </row>
    <row r="301" spans="124:130" ht="15" customHeight="1" x14ac:dyDescent="0.35">
      <c r="DT301" s="145"/>
      <c r="DU301" s="145"/>
      <c r="DX301" s="235" t="s">
        <v>371</v>
      </c>
      <c r="DY301" s="236"/>
      <c r="DZ301" s="174" t="str">
        <f>DZ311*6 + DZ332*4 + DZ346*4&amp;" шт"</f>
        <v>1536 шт</v>
      </c>
    </row>
    <row r="302" spans="124:130" ht="15" customHeight="1" x14ac:dyDescent="0.35">
      <c r="DT302" s="145"/>
      <c r="DU302" s="145"/>
      <c r="DX302" s="235" t="s">
        <v>372</v>
      </c>
      <c r="DY302" s="236"/>
      <c r="DZ302" s="174" t="str">
        <f>(DZ312*12+DZ329*12+(IFERROR(VLOOKUP(A16,$DX$365:$EC$379,6,FALSE)*DZ341,0)*12)&amp;" шт")</f>
        <v>96 шт</v>
      </c>
    </row>
    <row r="303" spans="124:130" ht="15" customHeight="1" x14ac:dyDescent="0.35">
      <c r="DT303" s="145"/>
      <c r="DU303" s="145"/>
    </row>
    <row r="304" spans="124:130" ht="15" customHeight="1" thickBot="1" x14ac:dyDescent="0.4">
      <c r="DT304" s="145"/>
      <c r="DU304" s="145"/>
    </row>
    <row r="305" spans="128:142" ht="15" customHeight="1" x14ac:dyDescent="0.35">
      <c r="DX305" s="237" t="s">
        <v>339</v>
      </c>
      <c r="DY305" s="238"/>
      <c r="DZ305" s="239"/>
      <c r="EA305" s="145"/>
      <c r="EB305" s="146" t="s">
        <v>264</v>
      </c>
      <c r="EC305" s="147"/>
      <c r="ED305" s="147"/>
      <c r="EE305" s="148"/>
      <c r="EF305" s="149"/>
      <c r="EG305" s="150"/>
      <c r="EH305" s="150"/>
      <c r="EI305" s="150"/>
      <c r="EJ305" s="150"/>
      <c r="EK305" s="150"/>
      <c r="EL305" s="145"/>
    </row>
    <row r="306" spans="128:142" ht="15" customHeight="1" x14ac:dyDescent="0.35">
      <c r="DX306" s="240" t="s">
        <v>265</v>
      </c>
      <c r="DY306" s="241"/>
      <c r="DZ306" s="152" t="str">
        <f>B12</f>
        <v>двусторонний</v>
      </c>
      <c r="EA306" s="145"/>
      <c r="EB306" s="153"/>
      <c r="EC306" s="154" t="s">
        <v>266</v>
      </c>
      <c r="ED306" s="154" t="s">
        <v>267</v>
      </c>
      <c r="EE306" s="155"/>
      <c r="EF306" s="145"/>
      <c r="EG306" s="145"/>
      <c r="EH306" s="145"/>
      <c r="EI306" s="145"/>
      <c r="EJ306" s="145"/>
      <c r="EK306" s="145"/>
      <c r="EL306" s="145"/>
    </row>
    <row r="307" spans="128:142" ht="15" customHeight="1" x14ac:dyDescent="0.35">
      <c r="DX307" s="240" t="s">
        <v>278</v>
      </c>
      <c r="DY307" s="241"/>
      <c r="DZ307" s="173" t="str">
        <f>CONCATENATE(A10," ",EC382," мм")</f>
        <v>Полукруглый Slim GL 100 мм</v>
      </c>
      <c r="EA307" s="145"/>
      <c r="EB307" s="153" t="s">
        <v>269</v>
      </c>
      <c r="EC307" s="158">
        <f>CEILING((B9-50-EC382)/(EC382+B11)+1,1)</f>
        <v>16</v>
      </c>
      <c r="ED307" s="159">
        <f>CEILING((EC307*DZ312),1)</f>
        <v>128</v>
      </c>
      <c r="EE307" s="160"/>
      <c r="EF307" s="161" t="str">
        <f>CONCATENATE("расчетный промежуток м/у штакет ",ROUND((B9-50-(EC307*EC382))/(EC307-1),0)," мм")</f>
        <v>расчетный промежуток м/у штакет 23 мм</v>
      </c>
      <c r="EG307" s="161"/>
      <c r="EH307" s="161"/>
      <c r="EI307" s="162"/>
      <c r="EJ307" s="163">
        <f>ROUND((B9-50-(EC307*EC382))/(EC307-1),1)</f>
        <v>23.3</v>
      </c>
      <c r="EK307" s="162"/>
      <c r="EL307" s="145"/>
    </row>
    <row r="308" spans="128:142" ht="15" customHeight="1" x14ac:dyDescent="0.35">
      <c r="DX308" s="235" t="s">
        <v>268</v>
      </c>
      <c r="DY308" s="236"/>
      <c r="DZ308" s="157">
        <f>B7</f>
        <v>20</v>
      </c>
      <c r="EA308" s="145"/>
      <c r="EB308" s="153" t="s">
        <v>271</v>
      </c>
      <c r="EC308" s="158">
        <f>CEILING((B9-50-EC382)/(EC382+B11)+1,1)*2</f>
        <v>32</v>
      </c>
      <c r="ED308" s="158">
        <f>CEILING((EC308*DZ312),1)</f>
        <v>256</v>
      </c>
      <c r="EE308" s="160"/>
      <c r="EF308" s="161" t="str">
        <f>CONCATENATE("расчетный промежуток м/у штакет ",ROUND((B9-50-(EC307*EC382))/(EC307-1),0)," мм")</f>
        <v>расчетный промежуток м/у штакет 23 мм</v>
      </c>
      <c r="EG308" s="161"/>
      <c r="EH308" s="161"/>
      <c r="EI308" s="162"/>
      <c r="EJ308" s="163">
        <f>ROUND((B9-50-(EC307*EC382))/(EC307-1),1)</f>
        <v>23.3</v>
      </c>
      <c r="EK308" s="162"/>
      <c r="EL308" s="145"/>
    </row>
    <row r="309" spans="128:142" ht="15" customHeight="1" x14ac:dyDescent="0.35">
      <c r="DX309" s="235" t="s">
        <v>270</v>
      </c>
      <c r="DY309" s="236"/>
      <c r="DZ309" s="164">
        <f>B8-10</f>
        <v>2490</v>
      </c>
      <c r="EA309" s="145"/>
      <c r="EB309" s="153" t="s">
        <v>273</v>
      </c>
      <c r="EC309" s="158">
        <f>CEILING((B9-50-EC382)/(EC382+B11)+1,1)</f>
        <v>16</v>
      </c>
      <c r="ED309" s="158">
        <f>CEILING((INT(EC309)*DZ312),1)</f>
        <v>128</v>
      </c>
      <c r="EE309" s="160"/>
      <c r="EF309" s="161" t="str">
        <f>CONCATENATE("расчетный промежуток м/у штакет ",ROUND((B9-50-(EC309*EC382))/(EC309-1),0)," мм")</f>
        <v>расчетный промежуток м/у штакет 23 мм</v>
      </c>
      <c r="EG309" s="161"/>
      <c r="EH309" s="161"/>
      <c r="EI309" s="162"/>
      <c r="EJ309" s="163">
        <f>ROUND((B9-50-(EC309*EC382))/(EC309-1),1)</f>
        <v>23.3</v>
      </c>
      <c r="EK309" s="162"/>
      <c r="EL309" s="145"/>
    </row>
    <row r="310" spans="128:142" ht="15" customHeight="1" thickBot="1" x14ac:dyDescent="0.4">
      <c r="DX310" s="235" t="s">
        <v>272</v>
      </c>
      <c r="DY310" s="236"/>
      <c r="DZ310" s="164">
        <f>IF(DZ306="шахматка",EC309+EC310,VLOOKUP(DZ306,$EB$307:$ED$308,2,FALSE))</f>
        <v>32</v>
      </c>
      <c r="EA310" s="145"/>
      <c r="EB310" s="165" t="s">
        <v>358</v>
      </c>
      <c r="EC310" s="166">
        <f>CEILING((B9-50-EC382)/(EC382+B11),1)</f>
        <v>15</v>
      </c>
      <c r="ED310" s="166">
        <f>CEILING((INT(EC310)*DZ312),1)</f>
        <v>120</v>
      </c>
      <c r="EE310" s="167">
        <f>ED309+ED310</f>
        <v>248</v>
      </c>
      <c r="EF310" s="161" t="str">
        <f>CONCATENATE("расчетный промежуток м/у штакет ",ROUND((B9-50-(EC310*EC382))/(EC310-1),0)," мм")</f>
        <v>расчетный промежуток м/у штакет 32 мм</v>
      </c>
      <c r="EG310" s="161"/>
      <c r="EH310" s="161"/>
      <c r="EI310" s="162">
        <f>B9-(EC310*(EC382+EJ310)-EK310*2)</f>
        <v>148.5</v>
      </c>
      <c r="EJ310" s="163">
        <f>ROUND((B9-50-(EC310*EC382))/(EC310-1),1)</f>
        <v>32.1</v>
      </c>
      <c r="EK310" s="162">
        <f>(EC382+B11)/2</f>
        <v>65</v>
      </c>
      <c r="EL310" s="145"/>
    </row>
    <row r="311" spans="128:142" ht="15" customHeight="1" x14ac:dyDescent="0.35">
      <c r="DX311" s="235" t="s">
        <v>274</v>
      </c>
      <c r="DY311" s="236"/>
      <c r="DZ311" s="164">
        <f>IF(DZ306="шахматка",EE310,VLOOKUP(DZ306,$EB$307:$ED$308,3,FALSE))</f>
        <v>256</v>
      </c>
      <c r="EA311" s="170"/>
      <c r="EF311" s="145"/>
      <c r="EG311" s="145"/>
      <c r="EH311" s="145"/>
      <c r="EI311" s="145"/>
      <c r="EJ311" s="145"/>
      <c r="EK311" s="145"/>
      <c r="EL311" s="145"/>
    </row>
    <row r="312" spans="128:142" ht="15" customHeight="1" x14ac:dyDescent="0.35">
      <c r="DX312" s="235" t="s">
        <v>276</v>
      </c>
      <c r="DY312" s="236"/>
      <c r="DZ312" s="164">
        <f>ROUNDUP(B7/B8*1000,0)</f>
        <v>8</v>
      </c>
      <c r="EA312" s="170"/>
      <c r="EF312" s="145"/>
      <c r="EG312" s="145"/>
      <c r="EH312" s="145"/>
      <c r="EI312" s="145"/>
      <c r="EJ312" s="145"/>
      <c r="EK312" s="145"/>
      <c r="EL312" s="145"/>
    </row>
    <row r="313" spans="128:142" ht="15" customHeight="1" x14ac:dyDescent="0.35">
      <c r="DX313" s="235" t="s">
        <v>280</v>
      </c>
      <c r="DY313" s="236"/>
      <c r="DZ313" s="174" t="str">
        <f>CONCATENATE((CEILING(DZ308/B8*1000,1))," шт"," L= ",IF(B8&lt;=2000,2000,IF(AND(B8&gt;2001,B8&lt;=2500),2500,3000))," мм")</f>
        <v>8 шт L= 2500 мм</v>
      </c>
      <c r="EA313" s="145"/>
    </row>
    <row r="314" spans="128:142" ht="15" customHeight="1" x14ac:dyDescent="0.35">
      <c r="DX314" s="242" t="s">
        <v>282</v>
      </c>
      <c r="DY314" s="175" t="s">
        <v>283</v>
      </c>
      <c r="DZ314" s="174" t="str">
        <f>CONCATENATE((ROUNDUP(DZ318,0)*2)," шт"," L=",IF(B9&lt;=2000,2000,IF(AND(B9&gt;2001,B9&lt;=2500),2500,3000))," мм")</f>
        <v>18 шт L=2000 мм</v>
      </c>
      <c r="EA314" s="145"/>
      <c r="EC314" s="176"/>
    </row>
    <row r="315" spans="128:142" ht="15" customHeight="1" x14ac:dyDescent="0.35">
      <c r="DX315" s="243"/>
      <c r="DY315" s="175" t="s">
        <v>284</v>
      </c>
      <c r="DZ315" s="174" t="str">
        <f>IF(B13=0," - ",CONCATENATE(B13*2," шт"," L= ",IF(B9&lt;=2000,2000,IF(AND(B9&gt;2001,B9&lt;=2500),2500,3000))," мм"))</f>
        <v xml:space="preserve"> - </v>
      </c>
      <c r="EA315" s="145"/>
    </row>
    <row r="316" spans="128:142" ht="15" customHeight="1" x14ac:dyDescent="0.35">
      <c r="DX316" s="242" t="s">
        <v>286</v>
      </c>
      <c r="DY316" s="179" t="s">
        <v>287</v>
      </c>
      <c r="DZ316" s="180" t="str">
        <f>CONCATENATE((CEILING(DZ312*3,1))," шт"," L= ",IF(B9&lt;=2000,2000,IF(AND(B9&gt;2001,B9&lt;=2500),2500,3000))," мм")</f>
        <v>24 шт L= 2000 мм</v>
      </c>
      <c r="EA316" s="145"/>
    </row>
    <row r="317" spans="128:142" ht="15" customHeight="1" x14ac:dyDescent="0.35">
      <c r="DX317" s="243"/>
      <c r="DY317" s="179" t="s">
        <v>288</v>
      </c>
      <c r="DZ317" s="174" t="str">
        <f>CONCATENATE((CEILING(DZ312*3,1))," шт"," L= ",IF(B9&lt;=2000,2000,IF(AND(B9&gt;2001,B9&lt;=2500),2500,3000))," мм")</f>
        <v>24 шт L= 2000 мм</v>
      </c>
      <c r="EA317" s="145"/>
    </row>
    <row r="318" spans="128:142" ht="15" customHeight="1" x14ac:dyDescent="0.35">
      <c r="DX318" s="235" t="s">
        <v>289</v>
      </c>
      <c r="DY318" s="236"/>
      <c r="DZ318" s="181">
        <f>DZ308/B8*1000+1</f>
        <v>9</v>
      </c>
      <c r="EA318" s="145"/>
    </row>
    <row r="319" spans="128:142" ht="15" customHeight="1" x14ac:dyDescent="0.35">
      <c r="DX319" s="235" t="s">
        <v>371</v>
      </c>
      <c r="DY319" s="236"/>
      <c r="DZ319" s="174" t="str">
        <f>DZ311*6&amp;" шт"</f>
        <v>1536 шт</v>
      </c>
      <c r="EA319" s="145"/>
    </row>
    <row r="320" spans="128:142" ht="15" customHeight="1" x14ac:dyDescent="0.35">
      <c r="DX320" s="235" t="s">
        <v>372</v>
      </c>
      <c r="DY320" s="236"/>
      <c r="DZ320" s="174" t="str">
        <f>DZ312*12&amp;" шт"</f>
        <v>96 шт</v>
      </c>
      <c r="EA320" s="145"/>
    </row>
    <row r="321" spans="124:135" ht="15" customHeight="1" x14ac:dyDescent="0.35">
      <c r="EA321" s="145"/>
    </row>
    <row r="322" spans="124:135" ht="15" customHeight="1" x14ac:dyDescent="0.35">
      <c r="DX322" s="237" t="s">
        <v>290</v>
      </c>
      <c r="DY322" s="238"/>
      <c r="DZ322" s="239"/>
      <c r="EA322" s="145"/>
    </row>
    <row r="323" spans="124:135" ht="15" customHeight="1" x14ac:dyDescent="0.35">
      <c r="DX323" s="240" t="s">
        <v>291</v>
      </c>
      <c r="DY323" s="241"/>
      <c r="DZ323" s="174" t="s">
        <v>292</v>
      </c>
      <c r="EA323" s="145"/>
    </row>
    <row r="324" spans="124:135" ht="15" customHeight="1" x14ac:dyDescent="0.35">
      <c r="DX324" s="240" t="s">
        <v>293</v>
      </c>
      <c r="DY324" s="241"/>
      <c r="DZ324" s="174" t="s">
        <v>292</v>
      </c>
    </row>
    <row r="325" spans="124:135" ht="15" customHeight="1" thickBot="1" x14ac:dyDescent="0.4"/>
    <row r="326" spans="124:135" ht="15" customHeight="1" x14ac:dyDescent="0.35">
      <c r="DX326" s="237" t="s">
        <v>342</v>
      </c>
      <c r="DY326" s="238"/>
      <c r="DZ326" s="239"/>
      <c r="EB326" s="146" t="s">
        <v>264</v>
      </c>
      <c r="EC326" s="147"/>
      <c r="ED326" s="147"/>
      <c r="EE326" s="148"/>
    </row>
    <row r="327" spans="124:135" ht="15" customHeight="1" x14ac:dyDescent="0.35">
      <c r="DT327" s="145"/>
      <c r="DU327" s="145"/>
      <c r="DX327" s="240" t="s">
        <v>265</v>
      </c>
      <c r="DY327" s="241"/>
      <c r="DZ327" s="152" t="str">
        <f>B12</f>
        <v>двусторонний</v>
      </c>
      <c r="EB327" s="153"/>
      <c r="EC327" s="154" t="s">
        <v>341</v>
      </c>
      <c r="ED327" s="154" t="s">
        <v>267</v>
      </c>
      <c r="EE327" s="155"/>
    </row>
    <row r="328" spans="124:135" ht="15" customHeight="1" x14ac:dyDescent="0.35">
      <c r="DT328" s="145"/>
      <c r="DU328" s="145"/>
      <c r="DX328" s="240" t="s">
        <v>278</v>
      </c>
      <c r="DY328" s="241"/>
      <c r="DZ328" s="173" t="str">
        <f>CONCATENATE($A$10," ",$EC$382," мм")</f>
        <v>Полукруглый Slim GL 100 мм</v>
      </c>
      <c r="EB328" s="153" t="s">
        <v>269</v>
      </c>
      <c r="EC328" s="158">
        <f>CEILING((EA330-50-$EC$382)/($EC$382+B11)+1,1)</f>
        <v>0</v>
      </c>
      <c r="ED328" s="159">
        <f>CEILING((EC328*DZ329),1)</f>
        <v>0</v>
      </c>
      <c r="EE328" s="160"/>
    </row>
    <row r="329" spans="124:135" ht="15" customHeight="1" x14ac:dyDescent="0.35">
      <c r="DT329" s="145"/>
      <c r="DU329" s="145"/>
      <c r="DX329" s="235" t="str">
        <f>IF(A15=DX355,"Кол-во калиток, шт",CONCATENATE(A15,", шт"))</f>
        <v>Кол-во калиток, шт</v>
      </c>
      <c r="DY329" s="236"/>
      <c r="DZ329" s="164">
        <f>B15</f>
        <v>0</v>
      </c>
      <c r="EB329" s="153" t="s">
        <v>271</v>
      </c>
      <c r="EC329" s="158">
        <f>CEILING((EA330-50-$EC$382)/($EC$382+B11)+1,1)*2</f>
        <v>0</v>
      </c>
      <c r="ED329" s="158">
        <f>CEILING((EC329*DZ329),1)</f>
        <v>0</v>
      </c>
      <c r="EE329" s="160"/>
    </row>
    <row r="330" spans="124:135" ht="15" customHeight="1" x14ac:dyDescent="0.35">
      <c r="DX330" s="235" t="s">
        <v>270</v>
      </c>
      <c r="DY330" s="236"/>
      <c r="DZ330" s="164">
        <f>IFERROR(VLOOKUP(A15,$DX$356:$DZ$361,2,FALSE)-10,0)</f>
        <v>0</v>
      </c>
      <c r="EA330" s="144">
        <f>IFERROR(VLOOKUP(A15,$DX$356:$EA$361,4,FALSE),0)</f>
        <v>0</v>
      </c>
      <c r="EB330" s="153" t="s">
        <v>273</v>
      </c>
      <c r="EC330" s="158">
        <f>CEILING((EA330-50-$EC$382)/($EC$382+B11)+1,1)</f>
        <v>0</v>
      </c>
      <c r="ED330" s="158">
        <f>CEILING((INT(EC330)*DZ329),1)</f>
        <v>0</v>
      </c>
      <c r="EE330" s="160"/>
    </row>
    <row r="331" spans="124:135" ht="15" customHeight="1" thickBot="1" x14ac:dyDescent="0.4">
      <c r="DX331" s="235" t="s">
        <v>343</v>
      </c>
      <c r="DY331" s="236"/>
      <c r="DZ331" s="164">
        <f>IF(DZ327="шахматка",EC330+EC331,VLOOKUP(DZ327,$EB$328:$ED$329,2,FALSE))</f>
        <v>0</v>
      </c>
      <c r="EB331" s="165" t="s">
        <v>358</v>
      </c>
      <c r="EC331" s="166">
        <f>IF(EA330=0,0,CEILING((EA330-50-$EC$382)/($EC$382+B11),1))</f>
        <v>0</v>
      </c>
      <c r="ED331" s="166">
        <f>CEILING((INT(EC331)*DZ329),1)</f>
        <v>0</v>
      </c>
      <c r="EE331" s="167">
        <f>ED330+ED331</f>
        <v>0</v>
      </c>
    </row>
    <row r="332" spans="124:135" ht="15" customHeight="1" x14ac:dyDescent="0.35">
      <c r="DX332" s="235" t="s">
        <v>274</v>
      </c>
      <c r="DY332" s="236"/>
      <c r="DZ332" s="164">
        <f>IF(DZ327="шахматка",EE331,VLOOKUP(DZ327,$EB$328:$ED$329,3,FALSE))</f>
        <v>0</v>
      </c>
    </row>
    <row r="333" spans="124:135" ht="15" customHeight="1" x14ac:dyDescent="0.35">
      <c r="DX333" s="242" t="s">
        <v>286</v>
      </c>
      <c r="DY333" s="179" t="s">
        <v>287</v>
      </c>
      <c r="DZ333" s="180" t="str">
        <f>CONCATENATE((CEILING(DZ329*2,1))," шт"," L= ",EA330," мм")</f>
        <v>0 шт L= 0 мм</v>
      </c>
    </row>
    <row r="334" spans="124:135" ht="15" customHeight="1" x14ac:dyDescent="0.35">
      <c r="DX334" s="243"/>
      <c r="DY334" s="179" t="s">
        <v>288</v>
      </c>
      <c r="DZ334" s="174" t="str">
        <f>CONCATENATE((CEILING(DZ329*2,1))," шт"," L= ",EA330," мм")</f>
        <v>0 шт L= 0 мм</v>
      </c>
    </row>
    <row r="335" spans="124:135" ht="15" customHeight="1" x14ac:dyDescent="0.35">
      <c r="DX335" s="235" t="s">
        <v>371</v>
      </c>
      <c r="DY335" s="236"/>
      <c r="DZ335" s="174" t="str">
        <f>DZ332*4&amp;" шт"</f>
        <v>0 шт</v>
      </c>
    </row>
    <row r="336" spans="124:135" ht="15" customHeight="1" x14ac:dyDescent="0.35">
      <c r="DX336" s="235" t="s">
        <v>372</v>
      </c>
      <c r="DY336" s="236"/>
      <c r="DZ336" s="174" t="str">
        <f>DZ329*12&amp;" шт"</f>
        <v>0 шт</v>
      </c>
    </row>
    <row r="337" spans="128:142" ht="15" customHeight="1" thickBot="1" x14ac:dyDescent="0.4"/>
    <row r="338" spans="128:142" ht="15" customHeight="1" x14ac:dyDescent="0.35">
      <c r="DX338" s="237" t="s">
        <v>384</v>
      </c>
      <c r="DY338" s="238"/>
      <c r="DZ338" s="239"/>
      <c r="EB338" s="146" t="s">
        <v>359</v>
      </c>
      <c r="EC338" s="147"/>
      <c r="ED338" s="147"/>
      <c r="EE338" s="147"/>
      <c r="EF338" s="147"/>
      <c r="EG338" s="148"/>
      <c r="EH338" s="145"/>
      <c r="EI338" s="145"/>
      <c r="EJ338" s="145"/>
      <c r="EK338" s="145"/>
      <c r="EL338" s="145"/>
    </row>
    <row r="339" spans="128:142" ht="15" customHeight="1" x14ac:dyDescent="0.35">
      <c r="DX339" s="240" t="s">
        <v>265</v>
      </c>
      <c r="DY339" s="241"/>
      <c r="DZ339" s="152" t="str">
        <f>B12</f>
        <v>двусторонний</v>
      </c>
      <c r="EB339" s="153"/>
      <c r="EC339" s="154" t="s">
        <v>360</v>
      </c>
      <c r="ED339" s="154" t="s">
        <v>361</v>
      </c>
      <c r="EE339" s="154" t="s">
        <v>362</v>
      </c>
      <c r="EF339" s="154" t="s">
        <v>267</v>
      </c>
      <c r="EG339" s="155"/>
      <c r="EH339" s="145"/>
      <c r="EI339" s="145"/>
      <c r="EJ339" s="145"/>
      <c r="EK339" s="145"/>
      <c r="EL339" s="145"/>
    </row>
    <row r="340" spans="128:142" ht="15" customHeight="1" x14ac:dyDescent="0.35">
      <c r="DX340" s="240" t="s">
        <v>278</v>
      </c>
      <c r="DY340" s="241"/>
      <c r="DZ340" s="173" t="str">
        <f>CONCATENATE($A$10," ",$EC$382," мм")</f>
        <v>Полукруглый Slim GL 100 мм</v>
      </c>
      <c r="EB340" s="153" t="s">
        <v>269</v>
      </c>
      <c r="EC340" s="158">
        <f>CEILING(($EA$342-50-$EC$382)/($EC$382+$B$11)+1,1)</f>
        <v>16</v>
      </c>
      <c r="ED340" s="158">
        <f>CEILING(($EA$343-50-$EC$382)/($EC$382+$B$11)+1,1)</f>
        <v>16</v>
      </c>
      <c r="EE340" s="158">
        <f>CEILING(($EA$344-50-$EC$382)/($EC$382+$B$11)+1,1)</f>
        <v>0</v>
      </c>
      <c r="EF340" s="159">
        <f>CEILING(((EC340+ED340+EE340)*DZ341),1)</f>
        <v>0</v>
      </c>
      <c r="EG340" s="160"/>
      <c r="EH340" s="145"/>
      <c r="EI340" s="145"/>
      <c r="EJ340" s="145"/>
      <c r="EK340" s="145"/>
      <c r="EL340" s="145"/>
    </row>
    <row r="341" spans="128:142" ht="15" customHeight="1" x14ac:dyDescent="0.35">
      <c r="DX341" s="235" t="str">
        <f>IF(A16=DX364,"Кол-во ворот, шт",CONCATENATE(A16,", шт"))</f>
        <v>Ворота откатные 2м х 3,5м, шт</v>
      </c>
      <c r="DY341" s="236"/>
      <c r="DZ341" s="164">
        <f>B16</f>
        <v>0</v>
      </c>
      <c r="EB341" s="153" t="s">
        <v>271</v>
      </c>
      <c r="EC341" s="158">
        <f>CEILING(($EA$342-50-$EC$382)/($EC$382+$B$11)+1,1)*2</f>
        <v>32</v>
      </c>
      <c r="ED341" s="158">
        <f>CEILING(($EA$343-50-$EC$382)/($EC$382+$B$11)+1,1)*2</f>
        <v>32</v>
      </c>
      <c r="EE341" s="158">
        <f>CEILING(($EA$344-50-$EC$382)/($EC$382+$B$11)+1,1)*2</f>
        <v>0</v>
      </c>
      <c r="EF341" s="158">
        <f>CEILING(((EC341+ED341+EE341)*DZ341),1)</f>
        <v>0</v>
      </c>
      <c r="EG341" s="160"/>
      <c r="EH341" s="145"/>
      <c r="EI341" s="145"/>
      <c r="EJ341" s="145"/>
      <c r="EK341" s="145"/>
      <c r="EL341" s="145"/>
    </row>
    <row r="342" spans="128:142" ht="15" customHeight="1" x14ac:dyDescent="0.35">
      <c r="DX342" s="235" t="s">
        <v>363</v>
      </c>
      <c r="DY342" s="236"/>
      <c r="DZ342" s="157">
        <f>IFERROR(VLOOKUP($A$16,$DX$365:$EA$379,2,FALSE)-10,0)</f>
        <v>1670</v>
      </c>
      <c r="EA342" s="144">
        <f>IFERROR(VLOOKUP($A$16,$DX$365:$ED$379,7,FALSE),0)</f>
        <v>2000</v>
      </c>
      <c r="EB342" s="153" t="s">
        <v>273</v>
      </c>
      <c r="EC342" s="158">
        <f>CEILING(($EA$342-50-$EC$382)/($EC$382+$B$11)+1,1)</f>
        <v>16</v>
      </c>
      <c r="ED342" s="158">
        <f>CEILING(($EA$343-50-$EC$382)/($EC$382+$B$11)+1,1)</f>
        <v>16</v>
      </c>
      <c r="EE342" s="158">
        <f>CEILING(($EA$344-50-$EC$382)/($EC$382+$B$11)+1,1)</f>
        <v>0</v>
      </c>
      <c r="EF342" s="158">
        <f>CEILING((INT(EC342+ED342+EE342)*DZ341),1)</f>
        <v>0</v>
      </c>
      <c r="EG342" s="160"/>
      <c r="EH342" s="145"/>
      <c r="EI342" s="145"/>
      <c r="EJ342" s="145"/>
      <c r="EK342" s="145"/>
      <c r="EL342" s="145"/>
    </row>
    <row r="343" spans="128:142" ht="15" customHeight="1" thickBot="1" x14ac:dyDescent="0.4">
      <c r="DX343" s="235" t="s">
        <v>364</v>
      </c>
      <c r="DY343" s="236"/>
      <c r="DZ343" s="157">
        <f>IFERROR(VLOOKUP($A$16,$DX$365:$EA$379,3,FALSE)-10,0)</f>
        <v>1670</v>
      </c>
      <c r="EA343" s="144">
        <f>IFERROR(IF(DZ343=0,0,VLOOKUP($A$16,$DX$365:$ED$379,7,FALSE)),0)</f>
        <v>2000</v>
      </c>
      <c r="EB343" s="165" t="s">
        <v>358</v>
      </c>
      <c r="EC343" s="166">
        <f>IF(EA342=0,0,CEILING(($EA$342-50-$EC$382)/($EC$382+$B$11),1))</f>
        <v>15</v>
      </c>
      <c r="ED343" s="166">
        <f>IF(EA343=0,0,CEILING(($EA$343-50-$EC$382)/($EC$382+$B$11),1))</f>
        <v>15</v>
      </c>
      <c r="EE343" s="166">
        <f>IF(EA344=0,0,CEILING(($EA$344-50-$EC$382)/($EC$382+$B$11),1))</f>
        <v>0</v>
      </c>
      <c r="EF343" s="166">
        <f>CEILING((INT(EC343+ED343+EE343)*DZ341),1)</f>
        <v>0</v>
      </c>
      <c r="EG343" s="167">
        <f>EF342+EF343</f>
        <v>0</v>
      </c>
      <c r="EH343" s="145"/>
      <c r="EI343" s="145"/>
      <c r="EJ343" s="145"/>
      <c r="EK343" s="145"/>
      <c r="EL343" s="145"/>
    </row>
    <row r="344" spans="128:142" ht="15" customHeight="1" x14ac:dyDescent="0.35">
      <c r="DX344" s="235" t="s">
        <v>365</v>
      </c>
      <c r="DY344" s="236"/>
      <c r="DZ344" s="157">
        <f>IF(IFERROR(VLOOKUP($A$16,$DX$365:$EA$379,4,FALSE)-10,0)&lt;0,0,IFERROR(VLOOKUP($A$16,$DX$365:$EA$379,4,FALSE)-10,0))</f>
        <v>0</v>
      </c>
      <c r="EA344" s="144">
        <f>IFERROR(IF(DZ344=0,0,VLOOKUP($A$16,$DX$365:$EB$379,5,FALSE)),0)</f>
        <v>0</v>
      </c>
    </row>
    <row r="345" spans="128:142" ht="15" customHeight="1" x14ac:dyDescent="0.35">
      <c r="DX345" s="235" t="s">
        <v>357</v>
      </c>
      <c r="DY345" s="236"/>
      <c r="DZ345" s="164">
        <f>IFERROR(IF(DZ339="шахматка",EG343/DZ341,VLOOKUP(DZ339,$EB$340:$EF$341,5,FALSE)/DZ341),0)</f>
        <v>0</v>
      </c>
    </row>
    <row r="346" spans="128:142" ht="15" customHeight="1" x14ac:dyDescent="0.35">
      <c r="DX346" s="235" t="s">
        <v>274</v>
      </c>
      <c r="DY346" s="236"/>
      <c r="DZ346" s="164">
        <f>IF(DZ339="шахматка",EG343,VLOOKUP(DZ339,$EB$340:$EF$341,5,FALSE))</f>
        <v>0</v>
      </c>
    </row>
    <row r="347" spans="128:142" ht="15" customHeight="1" x14ac:dyDescent="0.35">
      <c r="DX347" s="242" t="s">
        <v>286</v>
      </c>
      <c r="DY347" s="179" t="s">
        <v>287</v>
      </c>
      <c r="DZ347" s="180" t="str">
        <f>IFERROR(CONCATENATE((CEILING(VLOOKUP(A16,$DX$365:$EC$379,6,FALSE)*2,1)*DZ341)," шт"," L= ",EA342," мм"),"0 шт L= 0 мм")</f>
        <v>0 шт L= 2000 мм</v>
      </c>
      <c r="EB347" s="184" t="s">
        <v>374</v>
      </c>
    </row>
    <row r="348" spans="128:142" ht="15" customHeight="1" x14ac:dyDescent="0.35">
      <c r="DX348" s="243"/>
      <c r="DY348" s="179" t="s">
        <v>288</v>
      </c>
      <c r="DZ348" s="174" t="str">
        <f>CONCATENATE((CEILING(VLOOKUP(A16,$DX$365:$EC$379,6)*2,1)*DZ341)," шт"," L= ",EA342," мм")</f>
        <v>0 шт L= 2000 мм</v>
      </c>
      <c r="EB348" s="186">
        <f>IF($DZ$339=$EB$340,$EC$340,
IF($DZ$339=$EB$341,$EC$341,
IF($DZ$339=$EB$347,$EC$342+$EC$343,0)))</f>
        <v>32</v>
      </c>
      <c r="EC348" s="186">
        <f>IF($DZ$339=$EB$340,$ED$340,
IF($DZ$339=$EB$341,$ED$341,
IF($DZ$339=$EB$347,$ED$342+$ED$343,0)))</f>
        <v>32</v>
      </c>
      <c r="ED348" s="186">
        <f>IF($DZ$339=$EB$340,$EE$340,
IF($DZ$339=$EB$341,$EE$341,
IF($DZ$339=$EB$347,$EE$342+$EE$343,0)))</f>
        <v>0</v>
      </c>
    </row>
    <row r="349" spans="128:142" ht="15" customHeight="1" x14ac:dyDescent="0.35">
      <c r="DX349" s="235" t="s">
        <v>371</v>
      </c>
      <c r="DY349" s="236"/>
      <c r="DZ349" s="174" t="str">
        <f>DZ346*4&amp;" шт"</f>
        <v>0 шт</v>
      </c>
      <c r="EB349" s="184">
        <v>1</v>
      </c>
      <c r="EC349" s="184">
        <v>2</v>
      </c>
      <c r="ED349" s="184">
        <v>3</v>
      </c>
    </row>
    <row r="350" spans="128:142" ht="15" customHeight="1" x14ac:dyDescent="0.35">
      <c r="DX350" s="235" t="s">
        <v>372</v>
      </c>
      <c r="DY350" s="236"/>
      <c r="DZ350" s="174" t="str">
        <f>(IFERROR(VLOOKUP(A16,$DX$365:$EC$379,6,FALSE)*DZ341,0)*12)&amp;" шт"</f>
        <v>0 шт</v>
      </c>
    </row>
    <row r="355" spans="128:134" ht="15" customHeight="1" x14ac:dyDescent="0.35">
      <c r="DX355" s="144" t="s">
        <v>340</v>
      </c>
      <c r="DY355" s="184" t="s">
        <v>336</v>
      </c>
      <c r="DZ355" s="184" t="s">
        <v>337</v>
      </c>
      <c r="EA355" s="144" t="s">
        <v>382</v>
      </c>
    </row>
    <row r="356" spans="128:134" ht="15" customHeight="1" x14ac:dyDescent="0.35">
      <c r="DX356" s="144" t="s">
        <v>377</v>
      </c>
      <c r="DY356" s="144">
        <v>880</v>
      </c>
      <c r="DZ356" s="184">
        <v>1680</v>
      </c>
      <c r="EA356" s="144">
        <v>1800</v>
      </c>
    </row>
    <row r="357" spans="128:134" ht="15" customHeight="1" x14ac:dyDescent="0.35">
      <c r="DX357" s="144" t="s">
        <v>378</v>
      </c>
      <c r="DY357" s="144">
        <v>1380</v>
      </c>
      <c r="DZ357" s="184">
        <v>1680</v>
      </c>
      <c r="EA357" s="144">
        <v>1800</v>
      </c>
    </row>
    <row r="358" spans="128:134" ht="15" customHeight="1" x14ac:dyDescent="0.35">
      <c r="DX358" s="144" t="s">
        <v>379</v>
      </c>
      <c r="DY358" s="144">
        <v>880</v>
      </c>
      <c r="DZ358" s="184">
        <v>2000</v>
      </c>
      <c r="EA358" s="144">
        <v>2000</v>
      </c>
    </row>
    <row r="359" spans="128:134" ht="15" customHeight="1" x14ac:dyDescent="0.35">
      <c r="DX359" s="144" t="s">
        <v>380</v>
      </c>
      <c r="DY359" s="144">
        <v>1380</v>
      </c>
      <c r="DZ359" s="184">
        <v>2000</v>
      </c>
      <c r="EA359" s="144">
        <v>2000</v>
      </c>
    </row>
    <row r="360" spans="128:134" ht="15" customHeight="1" x14ac:dyDescent="0.35">
      <c r="DX360" s="144" t="s">
        <v>381</v>
      </c>
      <c r="DY360" s="144">
        <v>880</v>
      </c>
      <c r="DZ360" s="184">
        <v>2500</v>
      </c>
      <c r="EA360" s="144">
        <v>2500</v>
      </c>
    </row>
    <row r="361" spans="128:134" ht="15" customHeight="1" x14ac:dyDescent="0.35">
      <c r="DY361" s="184"/>
      <c r="DZ361" s="184"/>
    </row>
    <row r="364" spans="128:134" ht="15" customHeight="1" x14ac:dyDescent="0.35">
      <c r="DX364" s="185" t="s">
        <v>366</v>
      </c>
      <c r="DY364" s="186" t="s">
        <v>354</v>
      </c>
      <c r="DZ364" s="186" t="s">
        <v>355</v>
      </c>
      <c r="EA364" s="186" t="s">
        <v>356</v>
      </c>
      <c r="EB364" s="186" t="s">
        <v>337</v>
      </c>
      <c r="EC364" s="186" t="s">
        <v>344</v>
      </c>
      <c r="ED364" s="187" t="s">
        <v>382</v>
      </c>
    </row>
    <row r="365" spans="128:134" ht="15" customHeight="1" x14ac:dyDescent="0.35">
      <c r="DX365" s="144" t="s">
        <v>345</v>
      </c>
      <c r="DY365" s="184">
        <v>1680</v>
      </c>
      <c r="DZ365" s="184">
        <v>1680</v>
      </c>
      <c r="EA365" s="184">
        <v>0</v>
      </c>
      <c r="EB365" s="184">
        <v>1402</v>
      </c>
      <c r="EC365" s="184">
        <v>2</v>
      </c>
      <c r="ED365" s="144">
        <v>1800</v>
      </c>
    </row>
    <row r="366" spans="128:134" ht="15" customHeight="1" x14ac:dyDescent="0.35">
      <c r="DX366" s="144" t="s">
        <v>346</v>
      </c>
      <c r="DY366" s="184">
        <v>1940</v>
      </c>
      <c r="DZ366" s="184">
        <v>1940</v>
      </c>
      <c r="EA366" s="184">
        <v>0</v>
      </c>
      <c r="EB366" s="184">
        <v>1402</v>
      </c>
      <c r="EC366" s="184">
        <v>2</v>
      </c>
      <c r="ED366" s="144">
        <v>1800</v>
      </c>
    </row>
    <row r="367" spans="128:134" ht="15" customHeight="1" x14ac:dyDescent="0.35">
      <c r="DX367" s="144" t="s">
        <v>347</v>
      </c>
      <c r="DY367" s="184">
        <v>2140</v>
      </c>
      <c r="DZ367" s="184">
        <v>2140</v>
      </c>
      <c r="EA367" s="184">
        <v>0</v>
      </c>
      <c r="EB367" s="184">
        <v>1402</v>
      </c>
      <c r="EC367" s="184">
        <v>2</v>
      </c>
      <c r="ED367" s="144">
        <v>1800</v>
      </c>
    </row>
    <row r="368" spans="128:134" ht="15" customHeight="1" x14ac:dyDescent="0.35">
      <c r="DX368" s="144" t="s">
        <v>348</v>
      </c>
      <c r="DY368" s="184">
        <v>1680</v>
      </c>
      <c r="DZ368" s="184">
        <v>1680</v>
      </c>
      <c r="EA368" s="184">
        <v>0</v>
      </c>
      <c r="EB368" s="184">
        <v>1732</v>
      </c>
      <c r="EC368" s="184">
        <v>2</v>
      </c>
      <c r="ED368" s="144">
        <v>2000</v>
      </c>
    </row>
    <row r="369" spans="128:134" ht="15" customHeight="1" x14ac:dyDescent="0.35">
      <c r="DX369" s="144" t="s">
        <v>349</v>
      </c>
      <c r="DY369" s="184">
        <v>1940</v>
      </c>
      <c r="DZ369" s="184">
        <v>1940</v>
      </c>
      <c r="EA369" s="184">
        <v>0</v>
      </c>
      <c r="EB369" s="184">
        <v>1732</v>
      </c>
      <c r="EC369" s="184">
        <v>2</v>
      </c>
      <c r="ED369" s="144">
        <v>2000</v>
      </c>
    </row>
    <row r="370" spans="128:134" ht="15" customHeight="1" x14ac:dyDescent="0.35">
      <c r="DX370" s="144" t="s">
        <v>350</v>
      </c>
      <c r="DY370" s="184">
        <v>2140</v>
      </c>
      <c r="DZ370" s="184">
        <v>2140</v>
      </c>
      <c r="EA370" s="184">
        <v>0</v>
      </c>
      <c r="EB370" s="184">
        <v>1732</v>
      </c>
      <c r="EC370" s="184">
        <v>2</v>
      </c>
      <c r="ED370" s="144">
        <v>2000</v>
      </c>
    </row>
    <row r="371" spans="128:134" ht="15" customHeight="1" x14ac:dyDescent="0.35">
      <c r="DX371" s="144" t="s">
        <v>351</v>
      </c>
      <c r="DY371" s="184">
        <v>1420</v>
      </c>
      <c r="DZ371" s="184">
        <v>1420</v>
      </c>
      <c r="EA371" s="184">
        <v>1920</v>
      </c>
      <c r="EB371" s="184">
        <v>1732</v>
      </c>
      <c r="EC371" s="184">
        <v>3</v>
      </c>
      <c r="ED371" s="144">
        <v>2000</v>
      </c>
    </row>
    <row r="372" spans="128:134" ht="15" customHeight="1" x14ac:dyDescent="0.35">
      <c r="DX372" s="144" t="s">
        <v>352</v>
      </c>
      <c r="DY372" s="184">
        <v>1420</v>
      </c>
      <c r="DZ372" s="184">
        <v>1920</v>
      </c>
      <c r="EA372" s="184">
        <v>1920</v>
      </c>
      <c r="EB372" s="184">
        <v>1732</v>
      </c>
      <c r="EC372" s="184">
        <v>3</v>
      </c>
      <c r="ED372" s="144">
        <v>2000</v>
      </c>
    </row>
    <row r="373" spans="128:134" ht="15" customHeight="1" x14ac:dyDescent="0.35">
      <c r="DX373" s="144" t="s">
        <v>353</v>
      </c>
      <c r="DY373" s="184">
        <v>1920</v>
      </c>
      <c r="DZ373" s="184">
        <v>1920</v>
      </c>
      <c r="EA373" s="184">
        <v>1920</v>
      </c>
      <c r="EB373" s="184">
        <v>1732</v>
      </c>
      <c r="EC373" s="184">
        <v>3</v>
      </c>
      <c r="ED373" s="144">
        <v>2000</v>
      </c>
    </row>
    <row r="374" spans="128:134" ht="15" customHeight="1" x14ac:dyDescent="0.35">
      <c r="DX374" s="144" t="s">
        <v>375</v>
      </c>
      <c r="DY374" s="184">
        <v>1680</v>
      </c>
      <c r="DZ374" s="184">
        <v>1680</v>
      </c>
      <c r="EA374" s="184">
        <v>0</v>
      </c>
      <c r="EB374" s="196">
        <v>2191</v>
      </c>
      <c r="EC374" s="196">
        <v>2</v>
      </c>
      <c r="ED374" s="144">
        <v>2500</v>
      </c>
    </row>
    <row r="375" spans="128:134" ht="15" customHeight="1" x14ac:dyDescent="0.35">
      <c r="DX375" s="144" t="s">
        <v>376</v>
      </c>
      <c r="DY375" s="184">
        <v>1940</v>
      </c>
      <c r="DZ375" s="184">
        <v>1940</v>
      </c>
      <c r="EA375" s="184">
        <v>0</v>
      </c>
      <c r="EB375" s="196">
        <v>2191</v>
      </c>
      <c r="EC375" s="196">
        <v>2</v>
      </c>
      <c r="ED375" s="144">
        <v>2500</v>
      </c>
    </row>
    <row r="376" spans="128:134" ht="15" customHeight="1" x14ac:dyDescent="0.35">
      <c r="DX376" s="144" t="s">
        <v>367</v>
      </c>
      <c r="DY376" s="184">
        <v>1620</v>
      </c>
      <c r="DZ376" s="184">
        <v>1620</v>
      </c>
      <c r="EA376" s="184">
        <v>0</v>
      </c>
      <c r="EB376" s="184">
        <v>1512</v>
      </c>
      <c r="EC376" s="184">
        <v>2</v>
      </c>
      <c r="ED376" s="144">
        <v>1800</v>
      </c>
    </row>
    <row r="377" spans="128:134" ht="15" customHeight="1" x14ac:dyDescent="0.35">
      <c r="DX377" s="144" t="s">
        <v>368</v>
      </c>
      <c r="DY377" s="184">
        <v>1870</v>
      </c>
      <c r="DZ377" s="184">
        <v>1870</v>
      </c>
      <c r="EA377" s="184">
        <v>0</v>
      </c>
      <c r="EB377" s="184">
        <v>1512</v>
      </c>
      <c r="EC377" s="184">
        <v>2</v>
      </c>
      <c r="ED377" s="144">
        <v>1800</v>
      </c>
    </row>
    <row r="378" spans="128:134" ht="15" customHeight="1" x14ac:dyDescent="0.35">
      <c r="DX378" s="144" t="s">
        <v>370</v>
      </c>
      <c r="DY378" s="184">
        <v>1620</v>
      </c>
      <c r="DZ378" s="184">
        <v>1620</v>
      </c>
      <c r="EA378" s="184">
        <v>0</v>
      </c>
      <c r="EB378" s="184">
        <v>1842</v>
      </c>
      <c r="EC378" s="184">
        <v>2</v>
      </c>
      <c r="ED378" s="144">
        <v>2000</v>
      </c>
    </row>
    <row r="379" spans="128:134" ht="15" customHeight="1" x14ac:dyDescent="0.35">
      <c r="DX379" s="144" t="s">
        <v>369</v>
      </c>
      <c r="DY379" s="184">
        <v>1870</v>
      </c>
      <c r="DZ379" s="184">
        <v>1870</v>
      </c>
      <c r="EA379" s="184">
        <v>0</v>
      </c>
      <c r="EB379" s="184">
        <v>1842</v>
      </c>
      <c r="EC379" s="184">
        <v>2</v>
      </c>
      <c r="ED379" s="144">
        <v>2000</v>
      </c>
    </row>
    <row r="380" spans="128:134" ht="15" customHeight="1" x14ac:dyDescent="0.35">
      <c r="DX380" s="144">
        <f>IF(B8&lt;=2000,2000,
IF(AND(B8&gt;2001,B8&lt;=2500),2500,3000))</f>
        <v>2500</v>
      </c>
    </row>
    <row r="382" spans="128:134" ht="15" customHeight="1" x14ac:dyDescent="0.35">
      <c r="DX382" s="144" t="s">
        <v>279</v>
      </c>
      <c r="DY382" s="144">
        <v>128</v>
      </c>
      <c r="EB382" s="144" t="str">
        <f>A10</f>
        <v>Полукруглый Slim GL</v>
      </c>
      <c r="EC382" s="144">
        <f>VLOOKUP(EB382,DX382:DY384,2,FALSE)</f>
        <v>100</v>
      </c>
    </row>
    <row r="383" spans="128:134" ht="15" customHeight="1" x14ac:dyDescent="0.35">
      <c r="DX383" s="144" t="s">
        <v>294</v>
      </c>
      <c r="DY383" s="144">
        <v>118</v>
      </c>
    </row>
    <row r="384" spans="128:134" ht="15" customHeight="1" x14ac:dyDescent="0.35">
      <c r="DX384" s="144" t="s">
        <v>295</v>
      </c>
      <c r="DY384" s="144">
        <v>100</v>
      </c>
    </row>
  </sheetData>
  <mergeCells count="51">
    <mergeCell ref="DX307:DY307"/>
    <mergeCell ref="A6:B6"/>
    <mergeCell ref="A10:B10"/>
    <mergeCell ref="A14:B14"/>
    <mergeCell ref="DX305:DZ305"/>
    <mergeCell ref="DX306:DY306"/>
    <mergeCell ref="DX294:DX299"/>
    <mergeCell ref="DX323:DY323"/>
    <mergeCell ref="DX308:DY308"/>
    <mergeCell ref="DX309:DY309"/>
    <mergeCell ref="DX310:DY310"/>
    <mergeCell ref="DX311:DY311"/>
    <mergeCell ref="DX312:DY312"/>
    <mergeCell ref="DX313:DY313"/>
    <mergeCell ref="DX314:DX315"/>
    <mergeCell ref="DX316:DX317"/>
    <mergeCell ref="DX318:DY318"/>
    <mergeCell ref="DX319:DY319"/>
    <mergeCell ref="DX322:DZ322"/>
    <mergeCell ref="DX320:DY320"/>
    <mergeCell ref="DX344:DY344"/>
    <mergeCell ref="DX345:DY345"/>
    <mergeCell ref="DX339:DY339"/>
    <mergeCell ref="DX324:DY324"/>
    <mergeCell ref="DX326:DZ326"/>
    <mergeCell ref="DX327:DY327"/>
    <mergeCell ref="DX328:DY328"/>
    <mergeCell ref="DX329:DY329"/>
    <mergeCell ref="DX330:DY330"/>
    <mergeCell ref="DX331:DY331"/>
    <mergeCell ref="DX332:DY332"/>
    <mergeCell ref="DX333:DX334"/>
    <mergeCell ref="DX335:DY335"/>
    <mergeCell ref="DX338:DZ338"/>
    <mergeCell ref="DX336:DY336"/>
    <mergeCell ref="DX350:DY350"/>
    <mergeCell ref="DX283:DZ283"/>
    <mergeCell ref="DX284:DY284"/>
    <mergeCell ref="DX285:DY285"/>
    <mergeCell ref="DX291:DY291"/>
    <mergeCell ref="DX292:DX293"/>
    <mergeCell ref="DX300:DY300"/>
    <mergeCell ref="DX301:DY301"/>
    <mergeCell ref="DX302:DY302"/>
    <mergeCell ref="DX346:DY346"/>
    <mergeCell ref="DX347:DX348"/>
    <mergeCell ref="DX349:DY349"/>
    <mergeCell ref="DX340:DY340"/>
    <mergeCell ref="DX341:DY341"/>
    <mergeCell ref="DX342:DY342"/>
    <mergeCell ref="DX343:DY343"/>
  </mergeCells>
  <conditionalFormatting sqref="B8:B9">
    <cfRule type="cellIs" dxfId="0" priority="1" operator="greaterThan">
      <formula>3000</formula>
    </cfRule>
  </conditionalFormatting>
  <dataValidations count="7">
    <dataValidation type="whole" allowBlank="1" showInputMessage="1" showErrorMessage="1" sqref="B15:B16" xr:uid="{394898DC-9922-47D0-B864-14C318034E79}">
      <formula1>0</formula1>
      <formula2>100</formula2>
    </dataValidation>
    <dataValidation type="list" allowBlank="1" showInputMessage="1" showErrorMessage="1" sqref="B12" xr:uid="{5C9398E3-2360-4FC0-9B0F-7A0CB775CCEA}">
      <formula1>"шахматка,односторонний,двусторонний"</formula1>
    </dataValidation>
    <dataValidation type="list" allowBlank="1" showInputMessage="1" showErrorMessage="1" sqref="A10:B10" xr:uid="{C944F24E-BFE8-41B1-9380-64F886BEA1B3}">
      <formula1>"Круглый GL, Прямоугольный GL, Полукруглый Slim GL"</formula1>
    </dataValidation>
    <dataValidation type="decimal" allowBlank="1" showInputMessage="1" showErrorMessage="1" promptTitle="Секция от 500 мм до 2500 мм" prompt="Расстояние между солбами не должно быть более 2500 мм или менее 500 мм" sqref="B8" xr:uid="{79317342-6630-4D73-98B2-98A59127C3E2}">
      <formula1>500</formula1>
      <formula2>3000</formula2>
    </dataValidation>
    <dataValidation type="decimal" allowBlank="1" showInputMessage="1" showErrorMessage="1" promptTitle="Высота от 500 мм до 2000 мм" prompt="Высота забора должно быть не более 2000 мм или менее 500 мм" sqref="B9" xr:uid="{5A7293F9-A4C5-4731-8BAF-1A366BADC95D}">
      <formula1>500</formula1>
      <formula2>2000</formula2>
    </dataValidation>
    <dataValidation type="list" allowBlank="1" showInputMessage="1" showErrorMessage="1" sqref="A15" xr:uid="{E82BD2BB-D822-4DCA-BE75-10577BB25E0C}">
      <formula1>$DX$355:$DX$360</formula1>
    </dataValidation>
    <dataValidation type="list" allowBlank="1" showInputMessage="1" showErrorMessage="1" sqref="A16" xr:uid="{2C5AE7CE-DB3A-4BFC-9CC4-E360406D5CB9}">
      <formula1>$DX$364:$DX$379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AQ243"/>
  <sheetViews>
    <sheetView topLeftCell="A31" zoomScale="85" zoomScaleNormal="85" workbookViewId="0">
      <selection activeCell="U63" sqref="U63"/>
    </sheetView>
  </sheetViews>
  <sheetFormatPr defaultRowHeight="14.4" x14ac:dyDescent="0.3"/>
  <cols>
    <col min="1" max="1" width="34.109375" customWidth="1"/>
    <col min="2" max="2" width="11.44140625" customWidth="1"/>
    <col min="3" max="3" width="9.109375" customWidth="1"/>
    <col min="4" max="4" width="13.33203125" customWidth="1"/>
    <col min="5" max="5" width="15.109375" customWidth="1"/>
    <col min="6" max="7" width="15.5546875" customWidth="1"/>
    <col min="8" max="8" width="17.6640625" customWidth="1"/>
    <col min="9" max="9" width="11.6640625" customWidth="1"/>
    <col min="10" max="10" width="11.44140625" customWidth="1"/>
    <col min="11" max="11" width="11.33203125" customWidth="1"/>
    <col min="12" max="12" width="11.6640625" customWidth="1"/>
    <col min="13" max="13" width="10.88671875" customWidth="1"/>
    <col min="14" max="14" width="11.109375" customWidth="1"/>
    <col min="15" max="21" width="9.109375" customWidth="1"/>
    <col min="22" max="23" width="13.33203125" customWidth="1"/>
    <col min="24" max="25" width="9.109375" customWidth="1"/>
    <col min="26" max="27" width="13.6640625" customWidth="1"/>
    <col min="28" max="28" width="12.5546875" customWidth="1"/>
    <col min="29" max="29" width="7.109375" customWidth="1"/>
    <col min="30" max="31" width="9.109375" customWidth="1"/>
    <col min="32" max="32" width="16.88671875" bestFit="1" customWidth="1"/>
    <col min="33" max="33" width="8" bestFit="1" customWidth="1"/>
    <col min="34" max="41" width="9.109375" customWidth="1"/>
  </cols>
  <sheetData>
    <row r="1" spans="1:14" ht="18" x14ac:dyDescent="0.35">
      <c r="A1" s="100" t="s">
        <v>119</v>
      </c>
    </row>
    <row r="2" spans="1:14" x14ac:dyDescent="0.3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2"/>
    </row>
    <row r="3" spans="1:14" x14ac:dyDescent="0.3">
      <c r="A3" s="68" t="s">
        <v>122</v>
      </c>
      <c r="B3" s="202" t="s">
        <v>79</v>
      </c>
      <c r="C3" s="202"/>
      <c r="D3" s="2"/>
      <c r="E3" s="2"/>
      <c r="F3" s="68" t="s">
        <v>122</v>
      </c>
      <c r="G3" s="68" t="s">
        <v>79</v>
      </c>
      <c r="H3" s="68" t="s">
        <v>263</v>
      </c>
      <c r="I3" s="2"/>
      <c r="J3" s="2"/>
      <c r="K3" s="2"/>
      <c r="L3" s="68" t="s">
        <v>122</v>
      </c>
      <c r="M3" s="202" t="s">
        <v>79</v>
      </c>
      <c r="N3" s="202"/>
    </row>
    <row r="4" spans="1:14" ht="39.6" x14ac:dyDescent="0.3">
      <c r="A4" s="60" t="s">
        <v>53</v>
      </c>
      <c r="B4" s="60" t="s">
        <v>53</v>
      </c>
      <c r="C4" s="83" t="s">
        <v>7</v>
      </c>
      <c r="D4" s="2"/>
      <c r="E4" s="2"/>
      <c r="F4" s="60" t="s">
        <v>194</v>
      </c>
      <c r="G4" s="60" t="s">
        <v>194</v>
      </c>
      <c r="H4" s="60" t="s">
        <v>194</v>
      </c>
      <c r="I4" s="2"/>
      <c r="J4" s="2"/>
      <c r="K4" s="2"/>
      <c r="L4" s="60" t="s">
        <v>53</v>
      </c>
      <c r="M4" s="60" t="s">
        <v>53</v>
      </c>
      <c r="N4" s="83" t="s">
        <v>7</v>
      </c>
    </row>
    <row r="5" spans="1:14" x14ac:dyDescent="0.3">
      <c r="A5" s="24">
        <v>0</v>
      </c>
      <c r="B5" s="24">
        <v>0</v>
      </c>
      <c r="C5" s="24">
        <v>0</v>
      </c>
      <c r="D5" s="2"/>
      <c r="E5" s="2"/>
      <c r="F5" s="63" t="s">
        <v>195</v>
      </c>
      <c r="G5" s="63" t="s">
        <v>195</v>
      </c>
      <c r="H5" s="63" t="s">
        <v>195</v>
      </c>
      <c r="I5" s="2"/>
      <c r="J5" s="2"/>
      <c r="K5" s="2"/>
      <c r="L5" s="24">
        <v>0</v>
      </c>
      <c r="M5" s="24">
        <v>0</v>
      </c>
      <c r="N5" s="24">
        <v>0</v>
      </c>
    </row>
    <row r="6" spans="1:14" x14ac:dyDescent="0.3">
      <c r="A6" s="23">
        <v>0.57999999999999996</v>
      </c>
      <c r="B6" s="24">
        <v>0.5</v>
      </c>
      <c r="C6" s="24">
        <v>5</v>
      </c>
      <c r="D6" s="2"/>
      <c r="E6" s="2"/>
      <c r="F6" s="61" t="s">
        <v>44</v>
      </c>
      <c r="G6" s="61" t="s">
        <v>44</v>
      </c>
      <c r="H6" s="61" t="s">
        <v>44</v>
      </c>
      <c r="I6" s="2"/>
      <c r="J6" s="2"/>
      <c r="K6" s="2"/>
      <c r="L6" s="23">
        <v>0.57999999999999996</v>
      </c>
      <c r="M6" s="24">
        <v>0.5</v>
      </c>
      <c r="N6" s="24">
        <v>5</v>
      </c>
    </row>
    <row r="7" spans="1:14" x14ac:dyDescent="0.3">
      <c r="A7" s="23">
        <v>0.69</v>
      </c>
      <c r="B7" s="24">
        <v>0.6</v>
      </c>
      <c r="C7" s="24">
        <v>6</v>
      </c>
      <c r="D7" s="2"/>
      <c r="E7" s="2"/>
      <c r="F7" s="2"/>
      <c r="G7" s="2"/>
      <c r="H7" s="2"/>
      <c r="I7" s="2"/>
      <c r="J7" s="2"/>
      <c r="K7" s="2"/>
      <c r="L7" s="23">
        <v>0.69</v>
      </c>
      <c r="M7" s="24">
        <v>0.6</v>
      </c>
      <c r="N7" s="24">
        <v>6</v>
      </c>
    </row>
    <row r="8" spans="1:14" x14ac:dyDescent="0.3">
      <c r="A8" s="23">
        <v>0.8</v>
      </c>
      <c r="B8" s="24">
        <v>0.7</v>
      </c>
      <c r="C8" s="24">
        <v>7</v>
      </c>
      <c r="D8" s="2"/>
      <c r="E8" s="2"/>
      <c r="F8" s="2"/>
      <c r="G8" s="2"/>
      <c r="H8" s="2"/>
      <c r="I8" s="2"/>
      <c r="J8" s="2"/>
      <c r="K8" s="2"/>
      <c r="L8" s="23">
        <v>0.8</v>
      </c>
      <c r="M8" s="24">
        <v>0.7</v>
      </c>
      <c r="N8" s="24">
        <v>7</v>
      </c>
    </row>
    <row r="9" spans="1:14" x14ac:dyDescent="0.3">
      <c r="A9" s="23">
        <v>0.91</v>
      </c>
      <c r="B9" s="24">
        <v>0.8</v>
      </c>
      <c r="C9" s="24">
        <v>8</v>
      </c>
      <c r="D9" s="2"/>
      <c r="E9" s="2"/>
      <c r="H9" s="2"/>
      <c r="I9" s="2"/>
      <c r="J9" s="2"/>
      <c r="K9" s="2"/>
      <c r="L9" s="23">
        <v>0.91</v>
      </c>
      <c r="M9" s="24">
        <v>0.8</v>
      </c>
      <c r="N9" s="24">
        <v>8</v>
      </c>
    </row>
    <row r="10" spans="1:14" x14ac:dyDescent="0.3">
      <c r="A10" s="23">
        <v>1.02</v>
      </c>
      <c r="B10" s="24">
        <v>0.9</v>
      </c>
      <c r="C10" s="24">
        <v>9</v>
      </c>
      <c r="D10" s="2"/>
      <c r="E10" s="2"/>
      <c r="H10" s="2"/>
      <c r="I10" s="2"/>
      <c r="J10" s="2"/>
      <c r="K10" s="2"/>
      <c r="L10" s="23">
        <v>1.02</v>
      </c>
      <c r="M10" s="24">
        <v>0.9</v>
      </c>
      <c r="N10" s="24">
        <v>9</v>
      </c>
    </row>
    <row r="11" spans="1:14" x14ac:dyDescent="0.3">
      <c r="A11" s="23">
        <v>1.1299999999999999</v>
      </c>
      <c r="B11" s="24">
        <v>1</v>
      </c>
      <c r="C11" s="24">
        <v>10</v>
      </c>
      <c r="D11" s="2"/>
      <c r="J11" s="2"/>
      <c r="K11" s="2"/>
      <c r="L11" s="23">
        <v>1.1299999999999999</v>
      </c>
      <c r="M11" s="24">
        <v>1</v>
      </c>
      <c r="N11" s="24">
        <v>10</v>
      </c>
    </row>
    <row r="12" spans="1:14" x14ac:dyDescent="0.3">
      <c r="A12" s="23">
        <v>1.24</v>
      </c>
      <c r="B12" s="24">
        <v>1.1000000000000001</v>
      </c>
      <c r="C12" s="24">
        <v>11</v>
      </c>
      <c r="D12" s="2"/>
      <c r="E12" s="2"/>
      <c r="F12" s="2"/>
      <c r="G12" s="2"/>
      <c r="H12" s="2"/>
      <c r="I12" s="2"/>
      <c r="J12" s="2"/>
      <c r="K12" s="2"/>
      <c r="L12" s="23">
        <v>1.24</v>
      </c>
      <c r="M12" s="24">
        <v>1.1000000000000001</v>
      </c>
      <c r="N12" s="24">
        <v>11</v>
      </c>
    </row>
    <row r="13" spans="1:14" x14ac:dyDescent="0.3">
      <c r="A13" s="23">
        <v>1.35</v>
      </c>
      <c r="B13" s="24">
        <v>1.2</v>
      </c>
      <c r="C13" s="24">
        <v>12</v>
      </c>
      <c r="D13" s="2"/>
      <c r="E13" s="2"/>
      <c r="F13" s="2"/>
      <c r="G13" s="2"/>
      <c r="H13" s="2"/>
      <c r="I13" s="2"/>
      <c r="J13" s="2"/>
      <c r="K13" s="2"/>
      <c r="L13" s="23">
        <v>1.35</v>
      </c>
      <c r="M13" s="24">
        <v>1.2</v>
      </c>
      <c r="N13" s="24">
        <v>12</v>
      </c>
    </row>
    <row r="14" spans="1:14" x14ac:dyDescent="0.3">
      <c r="A14" s="23">
        <v>1.46</v>
      </c>
      <c r="B14" s="24">
        <v>1.3</v>
      </c>
      <c r="C14" s="24">
        <v>13</v>
      </c>
      <c r="D14" s="2"/>
      <c r="E14" s="2"/>
      <c r="F14" s="2"/>
      <c r="G14" s="2"/>
      <c r="H14" s="2"/>
      <c r="I14" s="2"/>
      <c r="J14" s="2"/>
      <c r="K14" s="2"/>
      <c r="L14" s="23">
        <v>1.46</v>
      </c>
      <c r="M14" s="24">
        <v>1.3</v>
      </c>
      <c r="N14" s="24">
        <v>13</v>
      </c>
    </row>
    <row r="15" spans="1:14" x14ac:dyDescent="0.3">
      <c r="A15" s="23">
        <v>1.57</v>
      </c>
      <c r="B15" s="24">
        <v>1.4</v>
      </c>
      <c r="C15" s="24">
        <v>14</v>
      </c>
      <c r="D15" s="2"/>
      <c r="E15" s="2"/>
      <c r="F15" s="2"/>
      <c r="G15" s="2"/>
      <c r="H15" s="2"/>
      <c r="I15" s="2"/>
      <c r="J15" s="2"/>
      <c r="K15" s="2"/>
      <c r="L15" s="23">
        <v>1.57</v>
      </c>
      <c r="M15" s="24">
        <v>1.4</v>
      </c>
      <c r="N15" s="24">
        <v>14</v>
      </c>
    </row>
    <row r="16" spans="1:14" x14ac:dyDescent="0.3">
      <c r="A16" s="23">
        <v>1.68</v>
      </c>
      <c r="B16" s="24">
        <v>1.5</v>
      </c>
      <c r="C16" s="24">
        <v>15</v>
      </c>
      <c r="D16" s="2"/>
      <c r="E16" s="2"/>
      <c r="F16" s="2"/>
      <c r="G16" s="2"/>
      <c r="H16" s="2"/>
      <c r="I16" s="2"/>
      <c r="J16" s="2"/>
      <c r="K16" s="2"/>
      <c r="L16" s="23">
        <v>1.68</v>
      </c>
      <c r="M16" s="24">
        <v>1.5</v>
      </c>
      <c r="N16" s="24">
        <v>15</v>
      </c>
    </row>
    <row r="17" spans="1:14" x14ac:dyDescent="0.3">
      <c r="A17" s="23">
        <v>1.79</v>
      </c>
      <c r="B17" s="24">
        <v>1.6</v>
      </c>
      <c r="C17" s="24">
        <v>16</v>
      </c>
      <c r="D17" s="2"/>
      <c r="E17" s="2"/>
      <c r="F17" s="2"/>
      <c r="G17" s="2"/>
      <c r="H17" s="2"/>
      <c r="I17" s="2"/>
      <c r="J17" s="2"/>
      <c r="K17" s="2"/>
      <c r="L17" s="23">
        <v>1.79</v>
      </c>
      <c r="M17" s="24">
        <v>1.6</v>
      </c>
      <c r="N17" s="24">
        <v>16</v>
      </c>
    </row>
    <row r="18" spans="1:14" x14ac:dyDescent="0.3">
      <c r="A18" s="23">
        <v>1.9</v>
      </c>
      <c r="B18" s="24">
        <v>1.7</v>
      </c>
      <c r="C18" s="24">
        <v>17</v>
      </c>
      <c r="D18" s="2"/>
      <c r="E18" s="2"/>
      <c r="F18" s="2"/>
      <c r="G18" s="2"/>
      <c r="H18" s="2"/>
      <c r="I18" s="2"/>
      <c r="J18" s="2"/>
      <c r="K18" s="2"/>
      <c r="L18" s="23">
        <v>1.9</v>
      </c>
      <c r="M18" s="24">
        <v>1.7</v>
      </c>
      <c r="N18" s="24">
        <v>17</v>
      </c>
    </row>
    <row r="19" spans="1:14" x14ac:dyDescent="0.3">
      <c r="A19" s="62">
        <v>2</v>
      </c>
      <c r="B19" s="24">
        <v>1.8</v>
      </c>
      <c r="C19" s="24">
        <v>18</v>
      </c>
      <c r="D19" s="2"/>
      <c r="E19" s="2"/>
      <c r="F19" s="2"/>
      <c r="G19" s="2"/>
      <c r="H19" s="2"/>
      <c r="I19" s="2"/>
      <c r="J19" s="2"/>
      <c r="K19" s="2"/>
      <c r="L19" s="23">
        <v>2.0099999999999998</v>
      </c>
      <c r="M19" s="24">
        <v>1.8</v>
      </c>
      <c r="N19" s="24">
        <v>18</v>
      </c>
    </row>
    <row r="20" spans="1:14" x14ac:dyDescent="0.3">
      <c r="A20" s="23">
        <v>2.1199999999999997</v>
      </c>
      <c r="B20" s="24">
        <v>1.9</v>
      </c>
      <c r="C20" s="24">
        <v>19</v>
      </c>
      <c r="D20" s="2"/>
      <c r="E20" s="2"/>
      <c r="F20" s="2"/>
      <c r="G20" s="2"/>
      <c r="H20" s="2"/>
      <c r="I20" s="2"/>
      <c r="J20" s="2"/>
      <c r="K20" s="2"/>
      <c r="L20" s="23">
        <f t="shared" ref="L20:L28" si="0">L19+0.11</f>
        <v>2.1199999999999997</v>
      </c>
      <c r="M20" s="24">
        <v>1.9</v>
      </c>
      <c r="N20" s="24">
        <v>19</v>
      </c>
    </row>
    <row r="21" spans="1:14" x14ac:dyDescent="0.3">
      <c r="A21" s="23">
        <v>2.2299999999999995</v>
      </c>
      <c r="B21" s="24">
        <v>2</v>
      </c>
      <c r="C21" s="24">
        <v>20</v>
      </c>
      <c r="D21" s="2"/>
      <c r="E21" s="2"/>
      <c r="F21" s="2"/>
      <c r="G21" s="2"/>
      <c r="H21" s="2"/>
      <c r="I21" s="2"/>
      <c r="J21" s="2"/>
      <c r="K21" s="2"/>
      <c r="L21" s="23">
        <f t="shared" si="0"/>
        <v>2.2299999999999995</v>
      </c>
      <c r="M21" s="24">
        <v>2</v>
      </c>
      <c r="N21" s="24">
        <v>20</v>
      </c>
    </row>
    <row r="22" spans="1:14" x14ac:dyDescent="0.3">
      <c r="A22" s="23">
        <v>2.3399999999999994</v>
      </c>
      <c r="B22" s="24">
        <v>2.1</v>
      </c>
      <c r="C22" s="24">
        <v>21</v>
      </c>
      <c r="D22" s="2"/>
      <c r="E22" s="2"/>
      <c r="F22" s="2"/>
      <c r="G22" s="2"/>
      <c r="H22" s="2"/>
      <c r="I22" s="2"/>
      <c r="J22" s="2"/>
      <c r="K22" s="2"/>
      <c r="L22" s="23">
        <f t="shared" si="0"/>
        <v>2.3399999999999994</v>
      </c>
      <c r="M22" s="24">
        <v>2.1</v>
      </c>
      <c r="N22" s="24">
        <v>21</v>
      </c>
    </row>
    <row r="23" spans="1:14" x14ac:dyDescent="0.3">
      <c r="A23" s="23">
        <v>2.4499999999999993</v>
      </c>
      <c r="B23" s="24">
        <v>2.2000000000000002</v>
      </c>
      <c r="C23" s="24">
        <v>22</v>
      </c>
      <c r="D23" s="2"/>
      <c r="E23" s="2"/>
      <c r="F23" s="2"/>
      <c r="G23" s="2"/>
      <c r="H23" s="2"/>
      <c r="I23" s="2"/>
      <c r="J23" s="2"/>
      <c r="K23" s="2"/>
      <c r="L23" s="23">
        <f t="shared" si="0"/>
        <v>2.4499999999999993</v>
      </c>
      <c r="M23" s="24">
        <v>2.2000000000000002</v>
      </c>
      <c r="N23" s="24">
        <v>22</v>
      </c>
    </row>
    <row r="24" spans="1:14" x14ac:dyDescent="0.3">
      <c r="A24" s="23">
        <v>2.5599999999999992</v>
      </c>
      <c r="B24" s="24">
        <v>2.2999999999999998</v>
      </c>
      <c r="C24" s="24">
        <v>23</v>
      </c>
      <c r="D24" s="2"/>
      <c r="E24" s="2"/>
      <c r="F24" s="2"/>
      <c r="G24" s="2"/>
      <c r="H24" s="2"/>
      <c r="I24" s="2"/>
      <c r="J24" s="2"/>
      <c r="K24" s="2"/>
      <c r="L24" s="23">
        <f t="shared" si="0"/>
        <v>2.5599999999999992</v>
      </c>
      <c r="M24" s="24">
        <v>2.2999999999999998</v>
      </c>
      <c r="N24" s="24">
        <v>23</v>
      </c>
    </row>
    <row r="25" spans="1:14" x14ac:dyDescent="0.3">
      <c r="A25" s="23">
        <v>2.669999999999999</v>
      </c>
      <c r="B25" s="24">
        <v>2.4</v>
      </c>
      <c r="C25" s="24">
        <v>24</v>
      </c>
      <c r="D25" s="2"/>
      <c r="E25" s="2"/>
      <c r="F25" s="2"/>
      <c r="G25" s="2"/>
      <c r="H25" s="2"/>
      <c r="I25" s="2"/>
      <c r="J25" s="2"/>
      <c r="K25" s="2"/>
      <c r="L25" s="23">
        <f t="shared" si="0"/>
        <v>2.669999999999999</v>
      </c>
      <c r="M25" s="24">
        <v>2.4</v>
      </c>
      <c r="N25" s="24">
        <v>24</v>
      </c>
    </row>
    <row r="26" spans="1:14" x14ac:dyDescent="0.3">
      <c r="A26" s="23">
        <v>2.7799999999999989</v>
      </c>
      <c r="B26" s="24">
        <v>2.5</v>
      </c>
      <c r="C26" s="24">
        <v>25</v>
      </c>
      <c r="D26" s="2"/>
      <c r="E26" s="2"/>
      <c r="F26" s="2"/>
      <c r="G26" s="2"/>
      <c r="H26" s="2"/>
      <c r="I26" s="2"/>
      <c r="J26" s="2"/>
      <c r="K26" s="2"/>
      <c r="L26" s="23">
        <f t="shared" si="0"/>
        <v>2.7799999999999989</v>
      </c>
      <c r="M26" s="24">
        <v>2.5</v>
      </c>
      <c r="N26" s="24">
        <v>25</v>
      </c>
    </row>
    <row r="27" spans="1:14" x14ac:dyDescent="0.3">
      <c r="A27" s="23">
        <v>2.8899999999999988</v>
      </c>
      <c r="B27" s="24">
        <v>2.6</v>
      </c>
      <c r="C27" s="24">
        <v>26</v>
      </c>
      <c r="D27" s="2"/>
      <c r="E27" s="2"/>
      <c r="F27" s="2"/>
      <c r="G27" s="2"/>
      <c r="H27" s="2"/>
      <c r="I27" s="2"/>
      <c r="J27" s="2"/>
      <c r="K27" s="2"/>
      <c r="L27" s="23">
        <f t="shared" si="0"/>
        <v>2.8899999999999988</v>
      </c>
      <c r="M27" s="24">
        <v>2.6</v>
      </c>
      <c r="N27" s="24">
        <v>26</v>
      </c>
    </row>
    <row r="28" spans="1:14" x14ac:dyDescent="0.3">
      <c r="A28" s="23">
        <v>2.9999999999999987</v>
      </c>
      <c r="B28" s="24">
        <v>2.7</v>
      </c>
      <c r="C28" s="24">
        <v>27</v>
      </c>
      <c r="D28" s="2"/>
      <c r="E28" s="2"/>
      <c r="F28" s="2"/>
      <c r="G28" s="2"/>
      <c r="H28" s="2"/>
      <c r="I28" s="2"/>
      <c r="J28" s="2"/>
      <c r="K28" s="2"/>
      <c r="L28" s="23">
        <f t="shared" si="0"/>
        <v>2.9999999999999987</v>
      </c>
      <c r="M28" s="24">
        <v>2.7</v>
      </c>
      <c r="N28" s="24">
        <v>27</v>
      </c>
    </row>
    <row r="29" spans="1:14" x14ac:dyDescent="0.3">
      <c r="A29" s="23"/>
      <c r="B29" s="24">
        <v>2.8</v>
      </c>
      <c r="C29" s="24">
        <v>28</v>
      </c>
      <c r="D29" s="2"/>
      <c r="E29" s="2"/>
      <c r="F29" s="2"/>
      <c r="G29" s="2"/>
      <c r="H29" s="2"/>
      <c r="I29" s="2"/>
      <c r="J29" s="2"/>
      <c r="K29" s="2"/>
      <c r="L29" s="23"/>
      <c r="M29" s="24">
        <v>2.8</v>
      </c>
      <c r="N29" s="24">
        <v>28</v>
      </c>
    </row>
    <row r="30" spans="1:14" x14ac:dyDescent="0.3">
      <c r="A30" s="23"/>
      <c r="B30" s="24">
        <v>2.9</v>
      </c>
      <c r="C30" s="24">
        <v>29</v>
      </c>
      <c r="D30" s="2"/>
      <c r="E30" s="2"/>
      <c r="F30" s="2"/>
      <c r="G30" s="2"/>
      <c r="H30" s="2"/>
      <c r="I30" s="2"/>
      <c r="J30" s="2"/>
      <c r="K30" s="2"/>
      <c r="L30" s="23"/>
      <c r="M30" s="24">
        <v>2.9</v>
      </c>
      <c r="N30" s="24">
        <v>29</v>
      </c>
    </row>
    <row r="31" spans="1:14" x14ac:dyDescent="0.3">
      <c r="A31" s="23"/>
      <c r="B31" s="24">
        <v>3</v>
      </c>
      <c r="C31" s="24">
        <v>30</v>
      </c>
      <c r="D31" s="2"/>
      <c r="E31" s="2"/>
      <c r="F31" s="2"/>
      <c r="G31" s="2"/>
      <c r="H31" s="2"/>
      <c r="I31" s="2"/>
      <c r="J31" s="2"/>
      <c r="K31" s="2"/>
      <c r="L31" s="23"/>
      <c r="M31" s="24">
        <v>3</v>
      </c>
      <c r="N31" s="24">
        <v>30</v>
      </c>
    </row>
    <row r="32" spans="1:14" x14ac:dyDescent="0.3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21" x14ac:dyDescent="0.3">
      <c r="A33" s="48">
        <v>1</v>
      </c>
      <c r="B33" s="49">
        <v>2</v>
      </c>
      <c r="C33" s="49">
        <v>3</v>
      </c>
      <c r="D33" s="49">
        <v>4</v>
      </c>
      <c r="E33" s="49">
        <v>5</v>
      </c>
      <c r="F33" s="49">
        <v>6</v>
      </c>
      <c r="G33" s="49">
        <v>7</v>
      </c>
      <c r="H33" s="49">
        <v>8</v>
      </c>
      <c r="I33" s="49">
        <v>9</v>
      </c>
      <c r="J33" s="49">
        <v>10</v>
      </c>
      <c r="K33" s="49">
        <v>11</v>
      </c>
      <c r="L33" s="49">
        <v>12</v>
      </c>
      <c r="M33" s="49">
        <v>13</v>
      </c>
      <c r="N33" s="49">
        <v>14</v>
      </c>
      <c r="O33" s="49">
        <v>15</v>
      </c>
      <c r="P33" s="49">
        <v>16</v>
      </c>
      <c r="Q33" s="49">
        <v>17</v>
      </c>
      <c r="R33" s="49">
        <v>18</v>
      </c>
      <c r="S33" s="49">
        <v>19</v>
      </c>
      <c r="T33" s="49">
        <v>20</v>
      </c>
      <c r="U33" s="49">
        <v>21</v>
      </c>
    </row>
    <row r="34" spans="1:21" ht="26.4" x14ac:dyDescent="0.3">
      <c r="A34" s="102" t="s">
        <v>54</v>
      </c>
      <c r="B34" s="103" t="s">
        <v>111</v>
      </c>
      <c r="C34" s="103" t="s">
        <v>114</v>
      </c>
      <c r="D34" s="103" t="s">
        <v>55</v>
      </c>
      <c r="E34" s="103" t="s">
        <v>11</v>
      </c>
      <c r="F34" s="103" t="s">
        <v>56</v>
      </c>
      <c r="G34" s="103" t="s">
        <v>42</v>
      </c>
      <c r="H34" s="103" t="s">
        <v>57</v>
      </c>
      <c r="I34" s="103" t="s">
        <v>45</v>
      </c>
      <c r="J34" s="103" t="s">
        <v>47</v>
      </c>
      <c r="K34" s="103" t="s">
        <v>193</v>
      </c>
      <c r="L34" s="103" t="s">
        <v>112</v>
      </c>
      <c r="M34" s="103" t="s">
        <v>113</v>
      </c>
      <c r="N34" s="103" t="s">
        <v>309</v>
      </c>
      <c r="O34" s="104"/>
      <c r="P34" s="104"/>
      <c r="Q34" s="104"/>
      <c r="R34" s="104"/>
    </row>
    <row r="35" spans="1:21" x14ac:dyDescent="0.3">
      <c r="A35" s="105" t="s">
        <v>44</v>
      </c>
      <c r="B35" s="106">
        <v>0</v>
      </c>
      <c r="C35" s="107">
        <v>0</v>
      </c>
      <c r="D35" s="107" t="s">
        <v>10</v>
      </c>
      <c r="E35" s="106">
        <v>0</v>
      </c>
      <c r="F35" s="107" t="s">
        <v>10</v>
      </c>
      <c r="G35" s="106">
        <v>0</v>
      </c>
      <c r="H35" s="107" t="s">
        <v>10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4"/>
      <c r="P35" s="104"/>
      <c r="Q35" s="104"/>
      <c r="R35" s="104"/>
    </row>
    <row r="36" spans="1:21" x14ac:dyDescent="0.3">
      <c r="A36" s="105" t="s">
        <v>16</v>
      </c>
      <c r="B36" s="106">
        <v>13</v>
      </c>
      <c r="C36" s="107">
        <v>15</v>
      </c>
      <c r="D36" s="107">
        <v>0.83</v>
      </c>
      <c r="E36" s="106">
        <v>2</v>
      </c>
      <c r="F36" s="107">
        <v>1.5</v>
      </c>
      <c r="G36" s="106">
        <v>1</v>
      </c>
      <c r="H36" s="107">
        <v>0.86</v>
      </c>
      <c r="I36" s="106">
        <v>1</v>
      </c>
      <c r="J36" s="106">
        <v>0</v>
      </c>
      <c r="K36" s="106">
        <v>0</v>
      </c>
      <c r="L36" s="106">
        <v>24</v>
      </c>
      <c r="M36" s="106">
        <v>32</v>
      </c>
      <c r="N36" s="106">
        <v>1.68</v>
      </c>
      <c r="O36" s="104"/>
      <c r="P36" s="104"/>
      <c r="Q36" s="104"/>
      <c r="R36" s="104"/>
    </row>
    <row r="37" spans="1:21" x14ac:dyDescent="0.3">
      <c r="A37" s="105" t="s">
        <v>179</v>
      </c>
      <c r="B37" s="106">
        <v>13</v>
      </c>
      <c r="C37" s="107">
        <v>15</v>
      </c>
      <c r="D37" s="107">
        <v>1.34</v>
      </c>
      <c r="E37" s="106">
        <v>2</v>
      </c>
      <c r="F37" s="107">
        <v>1.5</v>
      </c>
      <c r="G37" s="106">
        <v>1</v>
      </c>
      <c r="H37" s="107">
        <v>1.37</v>
      </c>
      <c r="I37" s="106">
        <v>1</v>
      </c>
      <c r="J37" s="106">
        <v>0</v>
      </c>
      <c r="K37" s="106">
        <v>0</v>
      </c>
      <c r="L37" s="106">
        <v>24</v>
      </c>
      <c r="M37" s="106">
        <v>32</v>
      </c>
      <c r="N37" s="106">
        <v>1.68</v>
      </c>
      <c r="O37" s="104"/>
      <c r="P37" s="104"/>
      <c r="Q37" s="104"/>
      <c r="R37" s="104"/>
    </row>
    <row r="38" spans="1:21" x14ac:dyDescent="0.3">
      <c r="A38" s="105" t="s">
        <v>17</v>
      </c>
      <c r="B38" s="106">
        <v>16</v>
      </c>
      <c r="C38" s="107">
        <v>18</v>
      </c>
      <c r="D38" s="107">
        <v>0.83</v>
      </c>
      <c r="E38" s="106">
        <v>2</v>
      </c>
      <c r="F38" s="107">
        <v>1.83</v>
      </c>
      <c r="G38" s="106">
        <v>1</v>
      </c>
      <c r="H38" s="107">
        <v>0.86</v>
      </c>
      <c r="I38" s="106">
        <v>0</v>
      </c>
      <c r="J38" s="106">
        <v>1</v>
      </c>
      <c r="K38" s="106">
        <v>0</v>
      </c>
      <c r="L38" s="106">
        <v>26</v>
      </c>
      <c r="M38" s="106">
        <v>34</v>
      </c>
      <c r="N38" s="106">
        <v>2</v>
      </c>
      <c r="O38" s="104"/>
      <c r="P38" s="104"/>
      <c r="Q38" s="104"/>
      <c r="R38" s="104"/>
    </row>
    <row r="39" spans="1:21" x14ac:dyDescent="0.3">
      <c r="A39" s="105" t="s">
        <v>180</v>
      </c>
      <c r="B39" s="106">
        <v>16</v>
      </c>
      <c r="C39" s="107">
        <v>18</v>
      </c>
      <c r="D39" s="107">
        <v>1.34</v>
      </c>
      <c r="E39" s="106">
        <v>2</v>
      </c>
      <c r="F39" s="107">
        <v>1.83</v>
      </c>
      <c r="G39" s="106">
        <v>1</v>
      </c>
      <c r="H39" s="107">
        <v>1.37</v>
      </c>
      <c r="I39" s="106">
        <v>0</v>
      </c>
      <c r="J39" s="106">
        <v>1</v>
      </c>
      <c r="K39" s="106">
        <v>0</v>
      </c>
      <c r="L39" s="106">
        <v>26</v>
      </c>
      <c r="M39" s="106">
        <v>34</v>
      </c>
      <c r="N39" s="106">
        <v>2</v>
      </c>
      <c r="O39" s="104"/>
      <c r="P39" s="104"/>
      <c r="Q39" s="104"/>
      <c r="R39" s="104"/>
    </row>
    <row r="40" spans="1:21" x14ac:dyDescent="0.3">
      <c r="A40" s="105" t="s">
        <v>181</v>
      </c>
      <c r="B40" s="106">
        <v>20</v>
      </c>
      <c r="C40" s="107">
        <v>23</v>
      </c>
      <c r="D40" s="107">
        <v>0.83</v>
      </c>
      <c r="E40" s="106">
        <v>2</v>
      </c>
      <c r="F40" s="107">
        <v>2.33</v>
      </c>
      <c r="G40" s="106">
        <v>1</v>
      </c>
      <c r="H40" s="107">
        <v>0.86</v>
      </c>
      <c r="I40" s="106">
        <v>0</v>
      </c>
      <c r="J40" s="106">
        <v>0</v>
      </c>
      <c r="K40" s="106">
        <v>1</v>
      </c>
      <c r="L40" s="106">
        <v>100</v>
      </c>
      <c r="M40" s="106">
        <v>112</v>
      </c>
      <c r="N40" s="106">
        <v>2.5</v>
      </c>
      <c r="O40" s="104"/>
      <c r="P40" s="104"/>
      <c r="Q40" s="104"/>
      <c r="R40" s="104"/>
    </row>
    <row r="41" spans="1:21" ht="52.8" x14ac:dyDescent="0.3">
      <c r="A41" s="108" t="s">
        <v>46</v>
      </c>
      <c r="B41" s="103" t="s">
        <v>215</v>
      </c>
      <c r="C41" s="103" t="s">
        <v>216</v>
      </c>
      <c r="D41" s="103" t="s">
        <v>217</v>
      </c>
      <c r="E41" s="103" t="s">
        <v>11</v>
      </c>
      <c r="F41" s="103" t="s">
        <v>56</v>
      </c>
      <c r="G41" s="103" t="s">
        <v>218</v>
      </c>
      <c r="H41" s="103" t="s">
        <v>219</v>
      </c>
      <c r="I41" s="103" t="s">
        <v>45</v>
      </c>
      <c r="J41" s="103" t="s">
        <v>47</v>
      </c>
      <c r="K41" s="103" t="s">
        <v>193</v>
      </c>
      <c r="L41" s="103" t="s">
        <v>112</v>
      </c>
      <c r="M41" s="103" t="s">
        <v>113</v>
      </c>
      <c r="N41" s="103" t="s">
        <v>210</v>
      </c>
      <c r="O41" s="103" t="s">
        <v>211</v>
      </c>
      <c r="P41" s="103" t="s">
        <v>212</v>
      </c>
      <c r="Q41" s="103" t="s">
        <v>213</v>
      </c>
      <c r="R41" s="103" t="s">
        <v>214</v>
      </c>
      <c r="S41" s="125" t="s">
        <v>5</v>
      </c>
      <c r="T41" s="103" t="s">
        <v>309</v>
      </c>
      <c r="U41" s="125" t="s">
        <v>308</v>
      </c>
    </row>
    <row r="42" spans="1:21" x14ac:dyDescent="0.3">
      <c r="A42" s="105" t="s">
        <v>44</v>
      </c>
      <c r="B42" s="106">
        <v>0</v>
      </c>
      <c r="C42" s="107">
        <v>0</v>
      </c>
      <c r="D42" s="107" t="s">
        <v>10</v>
      </c>
      <c r="E42" s="106">
        <v>0</v>
      </c>
      <c r="F42" s="107" t="s">
        <v>10</v>
      </c>
      <c r="G42" s="106">
        <v>0</v>
      </c>
      <c r="H42" s="107" t="s">
        <v>10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28">
        <v>0</v>
      </c>
      <c r="U42" s="106">
        <v>0</v>
      </c>
    </row>
    <row r="43" spans="1:21" x14ac:dyDescent="0.3">
      <c r="A43" s="105" t="s">
        <v>19</v>
      </c>
      <c r="B43" s="106">
        <v>26</v>
      </c>
      <c r="C43" s="107">
        <v>30</v>
      </c>
      <c r="D43" s="107">
        <v>1.64</v>
      </c>
      <c r="E43" s="106">
        <v>4</v>
      </c>
      <c r="F43" s="107">
        <v>1.5</v>
      </c>
      <c r="G43" s="106">
        <v>2</v>
      </c>
      <c r="H43" s="107">
        <v>1.67</v>
      </c>
      <c r="I43" s="106">
        <v>2</v>
      </c>
      <c r="J43" s="106">
        <v>0</v>
      </c>
      <c r="K43" s="106">
        <v>0</v>
      </c>
      <c r="L43" s="106">
        <v>50</v>
      </c>
      <c r="M43" s="106">
        <v>66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2</v>
      </c>
      <c r="T43" s="106">
        <v>1.68</v>
      </c>
      <c r="U43" s="106">
        <v>2</v>
      </c>
    </row>
    <row r="44" spans="1:21" x14ac:dyDescent="0.3">
      <c r="A44" s="105" t="s">
        <v>182</v>
      </c>
      <c r="B44" s="106">
        <v>26</v>
      </c>
      <c r="C44" s="107">
        <v>30</v>
      </c>
      <c r="D44" s="107">
        <v>1.84</v>
      </c>
      <c r="E44" s="106">
        <v>4</v>
      </c>
      <c r="F44" s="107">
        <v>1.5</v>
      </c>
      <c r="G44" s="106">
        <v>2</v>
      </c>
      <c r="H44" s="107">
        <v>1.87</v>
      </c>
      <c r="I44" s="106">
        <v>2</v>
      </c>
      <c r="J44" s="106">
        <v>0</v>
      </c>
      <c r="K44" s="106">
        <v>0</v>
      </c>
      <c r="L44" s="106">
        <v>50</v>
      </c>
      <c r="M44" s="106">
        <v>66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2</v>
      </c>
      <c r="T44" s="106">
        <v>1.68</v>
      </c>
      <c r="U44" s="106">
        <v>2</v>
      </c>
    </row>
    <row r="45" spans="1:21" x14ac:dyDescent="0.3">
      <c r="A45" s="105" t="s">
        <v>20</v>
      </c>
      <c r="B45" s="106">
        <v>32</v>
      </c>
      <c r="C45" s="107">
        <v>36</v>
      </c>
      <c r="D45" s="107">
        <v>1.64</v>
      </c>
      <c r="E45" s="106">
        <v>4</v>
      </c>
      <c r="F45" s="107">
        <v>1.83</v>
      </c>
      <c r="G45" s="106">
        <v>2</v>
      </c>
      <c r="H45" s="107">
        <v>1.67</v>
      </c>
      <c r="I45" s="106">
        <v>0</v>
      </c>
      <c r="J45" s="106">
        <v>2</v>
      </c>
      <c r="K45" s="106">
        <v>0</v>
      </c>
      <c r="L45" s="106">
        <v>54</v>
      </c>
      <c r="M45" s="106">
        <v>70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2</v>
      </c>
      <c r="T45" s="106">
        <v>2</v>
      </c>
      <c r="U45" s="106">
        <v>2</v>
      </c>
    </row>
    <row r="46" spans="1:21" x14ac:dyDescent="0.3">
      <c r="A46" s="105" t="s">
        <v>183</v>
      </c>
      <c r="B46" s="106">
        <v>32</v>
      </c>
      <c r="C46" s="107">
        <v>36</v>
      </c>
      <c r="D46" s="107">
        <v>1.83</v>
      </c>
      <c r="E46" s="106">
        <v>4</v>
      </c>
      <c r="F46" s="107">
        <v>1.83</v>
      </c>
      <c r="G46" s="106">
        <v>2</v>
      </c>
      <c r="H46" s="107">
        <v>1.87</v>
      </c>
      <c r="I46" s="106">
        <v>0</v>
      </c>
      <c r="J46" s="106">
        <v>2</v>
      </c>
      <c r="K46" s="106">
        <v>0</v>
      </c>
      <c r="L46" s="106">
        <v>54</v>
      </c>
      <c r="M46" s="106">
        <v>70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2</v>
      </c>
      <c r="T46" s="106">
        <v>2</v>
      </c>
      <c r="U46" s="106">
        <v>2</v>
      </c>
    </row>
    <row r="47" spans="1:21" x14ac:dyDescent="0.3">
      <c r="A47" s="105" t="s">
        <v>21</v>
      </c>
      <c r="B47" s="106">
        <v>24</v>
      </c>
      <c r="C47" s="107">
        <v>28</v>
      </c>
      <c r="D47" s="107">
        <v>1.64</v>
      </c>
      <c r="E47" s="106">
        <v>4</v>
      </c>
      <c r="F47" s="107">
        <v>1.39</v>
      </c>
      <c r="G47" s="106">
        <v>2</v>
      </c>
      <c r="H47" s="107">
        <v>1.67</v>
      </c>
      <c r="I47" s="106">
        <v>0</v>
      </c>
      <c r="J47" s="106">
        <v>0</v>
      </c>
      <c r="K47" s="106">
        <v>0</v>
      </c>
      <c r="L47" s="106">
        <v>34</v>
      </c>
      <c r="M47" s="106">
        <v>50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2</v>
      </c>
      <c r="T47" s="106">
        <v>1.68</v>
      </c>
      <c r="U47" s="106">
        <v>2</v>
      </c>
    </row>
    <row r="48" spans="1:21" x14ac:dyDescent="0.3">
      <c r="A48" s="105" t="s">
        <v>22</v>
      </c>
      <c r="B48" s="106">
        <v>24</v>
      </c>
      <c r="C48" s="107">
        <v>28</v>
      </c>
      <c r="D48" s="107">
        <v>1.9</v>
      </c>
      <c r="E48" s="106">
        <v>4</v>
      </c>
      <c r="F48" s="107">
        <v>1.39</v>
      </c>
      <c r="G48" s="106">
        <v>2</v>
      </c>
      <c r="H48" s="107">
        <v>1.93</v>
      </c>
      <c r="I48" s="106">
        <v>0</v>
      </c>
      <c r="J48" s="106">
        <v>0</v>
      </c>
      <c r="K48" s="106">
        <v>0</v>
      </c>
      <c r="L48" s="106">
        <v>34</v>
      </c>
      <c r="M48" s="106">
        <v>50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2</v>
      </c>
      <c r="T48" s="106">
        <v>1.68</v>
      </c>
      <c r="U48" s="106">
        <v>2</v>
      </c>
    </row>
    <row r="49" spans="1:21" x14ac:dyDescent="0.3">
      <c r="A49" s="105" t="s">
        <v>23</v>
      </c>
      <c r="B49" s="106">
        <v>24</v>
      </c>
      <c r="C49" s="107">
        <v>28</v>
      </c>
      <c r="D49" s="107">
        <v>2.1</v>
      </c>
      <c r="E49" s="106">
        <v>4</v>
      </c>
      <c r="F49" s="107">
        <v>1.39</v>
      </c>
      <c r="G49" s="106">
        <v>2</v>
      </c>
      <c r="H49" s="107">
        <v>2.13</v>
      </c>
      <c r="I49" s="106">
        <v>0</v>
      </c>
      <c r="J49" s="106">
        <v>0</v>
      </c>
      <c r="K49" s="106">
        <v>0</v>
      </c>
      <c r="L49" s="106">
        <v>36</v>
      </c>
      <c r="M49" s="106">
        <v>52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2</v>
      </c>
      <c r="T49" s="106">
        <v>1.68</v>
      </c>
      <c r="U49" s="106">
        <v>2</v>
      </c>
    </row>
    <row r="50" spans="1:21" x14ac:dyDescent="0.3">
      <c r="A50" s="105" t="s">
        <v>24</v>
      </c>
      <c r="B50" s="106">
        <v>30</v>
      </c>
      <c r="C50" s="107">
        <v>34</v>
      </c>
      <c r="D50" s="107">
        <v>1.64</v>
      </c>
      <c r="E50" s="106">
        <v>4</v>
      </c>
      <c r="F50" s="107">
        <v>1.72</v>
      </c>
      <c r="G50" s="106">
        <v>2</v>
      </c>
      <c r="H50" s="107">
        <v>1.67</v>
      </c>
      <c r="I50" s="106">
        <v>0</v>
      </c>
      <c r="J50" s="106">
        <v>0</v>
      </c>
      <c r="K50" s="106">
        <v>0</v>
      </c>
      <c r="L50" s="106">
        <v>38</v>
      </c>
      <c r="M50" s="106">
        <v>54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2</v>
      </c>
      <c r="T50" s="106">
        <v>2</v>
      </c>
      <c r="U50" s="106">
        <v>2</v>
      </c>
    </row>
    <row r="51" spans="1:21" x14ac:dyDescent="0.3">
      <c r="A51" s="105" t="s">
        <v>25</v>
      </c>
      <c r="B51" s="106">
        <v>30</v>
      </c>
      <c r="C51" s="107">
        <v>34</v>
      </c>
      <c r="D51" s="107">
        <v>1.9</v>
      </c>
      <c r="E51" s="106">
        <v>4</v>
      </c>
      <c r="F51" s="107">
        <v>1.72</v>
      </c>
      <c r="G51" s="106">
        <v>2</v>
      </c>
      <c r="H51" s="107">
        <v>1.93</v>
      </c>
      <c r="I51" s="106">
        <v>0</v>
      </c>
      <c r="J51" s="106">
        <v>0</v>
      </c>
      <c r="K51" s="106">
        <v>0</v>
      </c>
      <c r="L51" s="106">
        <v>38</v>
      </c>
      <c r="M51" s="106">
        <v>54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2</v>
      </c>
      <c r="T51" s="106">
        <v>2</v>
      </c>
      <c r="U51" s="106">
        <v>2</v>
      </c>
    </row>
    <row r="52" spans="1:21" x14ac:dyDescent="0.3">
      <c r="A52" s="105" t="s">
        <v>26</v>
      </c>
      <c r="B52" s="106">
        <v>30</v>
      </c>
      <c r="C52" s="107">
        <v>34</v>
      </c>
      <c r="D52" s="107">
        <v>2.1</v>
      </c>
      <c r="E52" s="106">
        <v>4</v>
      </c>
      <c r="F52" s="107">
        <v>1.72</v>
      </c>
      <c r="G52" s="106">
        <v>2</v>
      </c>
      <c r="H52" s="107">
        <v>2.13</v>
      </c>
      <c r="I52" s="106">
        <v>0</v>
      </c>
      <c r="J52" s="106">
        <v>0</v>
      </c>
      <c r="K52" s="106">
        <v>0</v>
      </c>
      <c r="L52" s="106">
        <v>40</v>
      </c>
      <c r="M52" s="106">
        <v>56</v>
      </c>
      <c r="N52" s="106"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2</v>
      </c>
      <c r="T52" s="106">
        <v>2</v>
      </c>
      <c r="U52" s="106">
        <v>2</v>
      </c>
    </row>
    <row r="53" spans="1:21" x14ac:dyDescent="0.3">
      <c r="A53" s="105" t="s">
        <v>184</v>
      </c>
      <c r="B53" s="106">
        <v>38</v>
      </c>
      <c r="C53" s="107">
        <v>44</v>
      </c>
      <c r="D53" s="107">
        <v>1.9</v>
      </c>
      <c r="E53" s="106">
        <v>4</v>
      </c>
      <c r="F53" s="107">
        <v>2.1800000000000002</v>
      </c>
      <c r="G53" s="106">
        <v>2</v>
      </c>
      <c r="H53" s="107">
        <v>1.93</v>
      </c>
      <c r="I53" s="106">
        <v>0</v>
      </c>
      <c r="J53" s="106">
        <v>0</v>
      </c>
      <c r="K53" s="106">
        <v>0</v>
      </c>
      <c r="L53" s="106">
        <v>172</v>
      </c>
      <c r="M53" s="106">
        <v>176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2</v>
      </c>
      <c r="T53" s="106">
        <v>2.5</v>
      </c>
      <c r="U53" s="106">
        <v>2</v>
      </c>
    </row>
    <row r="54" spans="1:21" x14ac:dyDescent="0.3">
      <c r="A54" s="105" t="s">
        <v>220</v>
      </c>
      <c r="B54" s="107">
        <v>30</v>
      </c>
      <c r="C54" s="107">
        <v>34</v>
      </c>
      <c r="D54" s="107">
        <v>1.38</v>
      </c>
      <c r="E54" s="107">
        <v>6</v>
      </c>
      <c r="F54" s="107">
        <v>1.72</v>
      </c>
      <c r="G54" s="107">
        <v>2</v>
      </c>
      <c r="H54" s="107">
        <v>1.41</v>
      </c>
      <c r="I54" s="107">
        <v>0</v>
      </c>
      <c r="J54" s="107">
        <v>0</v>
      </c>
      <c r="K54" s="107">
        <v>0</v>
      </c>
      <c r="L54" s="107">
        <v>60</v>
      </c>
      <c r="M54" s="107">
        <v>76</v>
      </c>
      <c r="N54" s="109">
        <v>15</v>
      </c>
      <c r="O54" s="109">
        <v>17</v>
      </c>
      <c r="P54" s="109">
        <v>1.88</v>
      </c>
      <c r="Q54" s="109">
        <v>1</v>
      </c>
      <c r="R54" s="109">
        <v>1.91</v>
      </c>
      <c r="S54" s="106">
        <v>3</v>
      </c>
      <c r="T54" s="106">
        <v>2</v>
      </c>
      <c r="U54" s="106">
        <v>3</v>
      </c>
    </row>
    <row r="55" spans="1:21" x14ac:dyDescent="0.3">
      <c r="A55" s="105" t="s">
        <v>221</v>
      </c>
      <c r="B55" s="107">
        <v>15</v>
      </c>
      <c r="C55" s="107">
        <v>17</v>
      </c>
      <c r="D55" s="107">
        <v>1.38</v>
      </c>
      <c r="E55" s="107">
        <v>6</v>
      </c>
      <c r="F55" s="107">
        <v>1.72</v>
      </c>
      <c r="G55" s="107">
        <v>1</v>
      </c>
      <c r="H55" s="107">
        <v>1.41</v>
      </c>
      <c r="I55" s="107">
        <v>0</v>
      </c>
      <c r="J55" s="107">
        <v>0</v>
      </c>
      <c r="K55" s="107">
        <v>0</v>
      </c>
      <c r="L55" s="107">
        <v>60</v>
      </c>
      <c r="M55" s="107">
        <v>76</v>
      </c>
      <c r="N55" s="109">
        <v>30</v>
      </c>
      <c r="O55" s="109">
        <v>34</v>
      </c>
      <c r="P55" s="109">
        <v>1.88</v>
      </c>
      <c r="Q55" s="109">
        <v>2</v>
      </c>
      <c r="R55" s="109">
        <v>1.91</v>
      </c>
      <c r="S55" s="106">
        <v>3</v>
      </c>
      <c r="T55" s="106">
        <v>2</v>
      </c>
      <c r="U55" s="106">
        <v>3</v>
      </c>
    </row>
    <row r="56" spans="1:21" x14ac:dyDescent="0.3">
      <c r="A56" s="105" t="s">
        <v>222</v>
      </c>
      <c r="B56" s="107">
        <v>45</v>
      </c>
      <c r="C56" s="107">
        <v>51</v>
      </c>
      <c r="D56" s="107">
        <v>1.88</v>
      </c>
      <c r="E56" s="107">
        <v>6</v>
      </c>
      <c r="F56" s="107">
        <v>1.72</v>
      </c>
      <c r="G56" s="107">
        <v>3</v>
      </c>
      <c r="H56" s="107">
        <v>1.91</v>
      </c>
      <c r="I56" s="107">
        <v>0</v>
      </c>
      <c r="J56" s="107">
        <v>0</v>
      </c>
      <c r="K56" s="107">
        <v>0</v>
      </c>
      <c r="L56" s="107">
        <v>60</v>
      </c>
      <c r="M56" s="107">
        <v>76</v>
      </c>
      <c r="N56" s="106">
        <v>0</v>
      </c>
      <c r="O56" s="109">
        <v>0</v>
      </c>
      <c r="P56" s="109">
        <v>0</v>
      </c>
      <c r="Q56" s="106">
        <v>0</v>
      </c>
      <c r="R56" s="106">
        <v>0</v>
      </c>
      <c r="S56" s="106">
        <v>3</v>
      </c>
      <c r="T56" s="106">
        <v>2</v>
      </c>
      <c r="U56" s="106">
        <v>3</v>
      </c>
    </row>
    <row r="57" spans="1:21" x14ac:dyDescent="0.3">
      <c r="A57" s="105" t="s">
        <v>27</v>
      </c>
      <c r="B57" s="106">
        <v>24</v>
      </c>
      <c r="C57" s="107">
        <v>28</v>
      </c>
      <c r="D57" s="107">
        <v>1.64</v>
      </c>
      <c r="E57" s="106">
        <v>4</v>
      </c>
      <c r="F57" s="107">
        <v>1.39</v>
      </c>
      <c r="G57" s="106">
        <v>2</v>
      </c>
      <c r="H57" s="107">
        <v>1.67</v>
      </c>
      <c r="I57" s="106">
        <v>0</v>
      </c>
      <c r="J57" s="106">
        <v>0</v>
      </c>
      <c r="K57" s="106">
        <v>0</v>
      </c>
      <c r="L57" s="106">
        <v>34</v>
      </c>
      <c r="M57" s="106">
        <v>50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2</v>
      </c>
      <c r="T57" s="106">
        <v>1.68</v>
      </c>
      <c r="U57" s="106">
        <v>2</v>
      </c>
    </row>
    <row r="58" spans="1:21" x14ac:dyDescent="0.3">
      <c r="A58" s="105" t="s">
        <v>28</v>
      </c>
      <c r="B58" s="106">
        <v>24</v>
      </c>
      <c r="C58" s="107">
        <v>28</v>
      </c>
      <c r="D58" s="107">
        <v>1.9</v>
      </c>
      <c r="E58" s="106">
        <v>4</v>
      </c>
      <c r="F58" s="107">
        <v>1.39</v>
      </c>
      <c r="G58" s="106">
        <v>2</v>
      </c>
      <c r="H58" s="107">
        <v>1.93</v>
      </c>
      <c r="I58" s="106">
        <v>0</v>
      </c>
      <c r="J58" s="106">
        <v>0</v>
      </c>
      <c r="K58" s="106">
        <v>0</v>
      </c>
      <c r="L58" s="106">
        <v>34</v>
      </c>
      <c r="M58" s="106">
        <v>50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2</v>
      </c>
      <c r="T58" s="106">
        <v>1.68</v>
      </c>
      <c r="U58" s="106">
        <v>2</v>
      </c>
    </row>
    <row r="59" spans="1:21" x14ac:dyDescent="0.3">
      <c r="A59" s="105" t="s">
        <v>29</v>
      </c>
      <c r="B59" s="106">
        <v>24</v>
      </c>
      <c r="C59" s="107">
        <v>28</v>
      </c>
      <c r="D59" s="107">
        <v>2.1</v>
      </c>
      <c r="E59" s="106">
        <v>4</v>
      </c>
      <c r="F59" s="107">
        <v>1.39</v>
      </c>
      <c r="G59" s="106">
        <v>2</v>
      </c>
      <c r="H59" s="107">
        <v>2.13</v>
      </c>
      <c r="I59" s="106">
        <v>0</v>
      </c>
      <c r="J59" s="106">
        <v>0</v>
      </c>
      <c r="K59" s="106">
        <v>0</v>
      </c>
      <c r="L59" s="106">
        <v>36</v>
      </c>
      <c r="M59" s="106">
        <v>52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2</v>
      </c>
      <c r="T59" s="106">
        <v>1.68</v>
      </c>
      <c r="U59" s="106">
        <v>2</v>
      </c>
    </row>
    <row r="60" spans="1:21" x14ac:dyDescent="0.3">
      <c r="A60" s="105" t="s">
        <v>31</v>
      </c>
      <c r="B60" s="106">
        <v>30</v>
      </c>
      <c r="C60" s="107">
        <v>34</v>
      </c>
      <c r="D60" s="107">
        <v>1.64</v>
      </c>
      <c r="E60" s="106">
        <v>4</v>
      </c>
      <c r="F60" s="107">
        <v>1.72</v>
      </c>
      <c r="G60" s="106">
        <v>2</v>
      </c>
      <c r="H60" s="107">
        <v>1.67</v>
      </c>
      <c r="I60" s="106">
        <v>0</v>
      </c>
      <c r="J60" s="106">
        <v>0</v>
      </c>
      <c r="K60" s="106">
        <v>0</v>
      </c>
      <c r="L60" s="106">
        <v>38</v>
      </c>
      <c r="M60" s="106">
        <v>54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2</v>
      </c>
      <c r="T60" s="106">
        <v>2</v>
      </c>
      <c r="U60" s="106">
        <v>2</v>
      </c>
    </row>
    <row r="61" spans="1:21" x14ac:dyDescent="0.3">
      <c r="A61" s="105" t="s">
        <v>36</v>
      </c>
      <c r="B61" s="106">
        <v>30</v>
      </c>
      <c r="C61" s="107">
        <v>34</v>
      </c>
      <c r="D61" s="107">
        <v>1.9</v>
      </c>
      <c r="E61" s="106">
        <v>4</v>
      </c>
      <c r="F61" s="107">
        <v>1.72</v>
      </c>
      <c r="G61" s="106">
        <v>2</v>
      </c>
      <c r="H61" s="107">
        <v>1.93</v>
      </c>
      <c r="I61" s="106">
        <v>0</v>
      </c>
      <c r="J61" s="106">
        <v>0</v>
      </c>
      <c r="K61" s="106">
        <v>0</v>
      </c>
      <c r="L61" s="106">
        <v>38</v>
      </c>
      <c r="M61" s="106">
        <v>54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2</v>
      </c>
      <c r="T61" s="106">
        <v>2</v>
      </c>
      <c r="U61" s="106">
        <v>2</v>
      </c>
    </row>
    <row r="62" spans="1:21" x14ac:dyDescent="0.3">
      <c r="A62" s="105" t="s">
        <v>37</v>
      </c>
      <c r="B62" s="106">
        <v>30</v>
      </c>
      <c r="C62" s="107">
        <v>34</v>
      </c>
      <c r="D62" s="107">
        <v>2.1</v>
      </c>
      <c r="E62" s="106">
        <v>4</v>
      </c>
      <c r="F62" s="107">
        <v>1.72</v>
      </c>
      <c r="G62" s="106">
        <v>2</v>
      </c>
      <c r="H62" s="107">
        <v>2.13</v>
      </c>
      <c r="I62" s="106">
        <v>0</v>
      </c>
      <c r="J62" s="106">
        <v>0</v>
      </c>
      <c r="K62" s="106">
        <v>0</v>
      </c>
      <c r="L62" s="106">
        <v>40</v>
      </c>
      <c r="M62" s="106">
        <v>56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2</v>
      </c>
      <c r="T62" s="106">
        <v>2</v>
      </c>
      <c r="U62" s="106">
        <v>2</v>
      </c>
    </row>
    <row r="63" spans="1:21" x14ac:dyDescent="0.3">
      <c r="A63" s="105" t="s">
        <v>257</v>
      </c>
      <c r="B63" s="107">
        <v>30</v>
      </c>
      <c r="C63" s="107">
        <v>34</v>
      </c>
      <c r="D63" s="107">
        <v>1.38</v>
      </c>
      <c r="E63" s="107">
        <v>6</v>
      </c>
      <c r="F63" s="107">
        <v>1.72</v>
      </c>
      <c r="G63" s="107">
        <v>2</v>
      </c>
      <c r="H63" s="107">
        <v>1.41</v>
      </c>
      <c r="I63" s="107">
        <v>0</v>
      </c>
      <c r="J63" s="107">
        <v>0</v>
      </c>
      <c r="K63" s="107">
        <v>0</v>
      </c>
      <c r="L63" s="107">
        <v>60</v>
      </c>
      <c r="M63" s="107">
        <v>76</v>
      </c>
      <c r="N63" s="109">
        <v>15</v>
      </c>
      <c r="O63" s="109">
        <v>17</v>
      </c>
      <c r="P63" s="109">
        <v>1.88</v>
      </c>
      <c r="Q63" s="109">
        <v>1</v>
      </c>
      <c r="R63" s="109">
        <v>1.91</v>
      </c>
      <c r="S63" s="106">
        <v>3</v>
      </c>
      <c r="T63" s="106">
        <v>2</v>
      </c>
      <c r="U63" s="106">
        <v>3</v>
      </c>
    </row>
    <row r="64" spans="1:21" x14ac:dyDescent="0.3">
      <c r="A64" s="105" t="s">
        <v>258</v>
      </c>
      <c r="B64" s="107">
        <v>15</v>
      </c>
      <c r="C64" s="107">
        <v>17</v>
      </c>
      <c r="D64" s="107">
        <v>1.38</v>
      </c>
      <c r="E64" s="107">
        <v>6</v>
      </c>
      <c r="F64" s="107">
        <v>1.72</v>
      </c>
      <c r="G64" s="107">
        <v>1</v>
      </c>
      <c r="H64" s="107">
        <v>1.41</v>
      </c>
      <c r="I64" s="107">
        <v>0</v>
      </c>
      <c r="J64" s="107">
        <v>0</v>
      </c>
      <c r="K64" s="107">
        <v>0</v>
      </c>
      <c r="L64" s="107">
        <v>60</v>
      </c>
      <c r="M64" s="107">
        <v>76</v>
      </c>
      <c r="N64" s="109">
        <v>30</v>
      </c>
      <c r="O64" s="109">
        <v>34</v>
      </c>
      <c r="P64" s="109">
        <v>1.88</v>
      </c>
      <c r="Q64" s="109">
        <v>2</v>
      </c>
      <c r="R64" s="109">
        <v>1.91</v>
      </c>
      <c r="S64" s="106">
        <v>3</v>
      </c>
      <c r="T64" s="106">
        <v>2</v>
      </c>
      <c r="U64" s="106">
        <v>3</v>
      </c>
    </row>
    <row r="65" spans="1:29" x14ac:dyDescent="0.3">
      <c r="A65" s="105" t="s">
        <v>259</v>
      </c>
      <c r="B65" s="107">
        <v>45</v>
      </c>
      <c r="C65" s="107">
        <v>51</v>
      </c>
      <c r="D65" s="107">
        <v>1.88</v>
      </c>
      <c r="E65" s="107">
        <v>6</v>
      </c>
      <c r="F65" s="107">
        <v>1.72</v>
      </c>
      <c r="G65" s="107">
        <v>3</v>
      </c>
      <c r="H65" s="107">
        <v>1.91</v>
      </c>
      <c r="I65" s="107">
        <v>0</v>
      </c>
      <c r="J65" s="107">
        <v>0</v>
      </c>
      <c r="K65" s="107">
        <v>0</v>
      </c>
      <c r="L65" s="107">
        <v>60</v>
      </c>
      <c r="M65" s="107">
        <v>76</v>
      </c>
      <c r="N65" s="106">
        <v>0</v>
      </c>
      <c r="O65" s="109">
        <v>0</v>
      </c>
      <c r="P65" s="109">
        <v>0</v>
      </c>
      <c r="Q65" s="106">
        <v>0</v>
      </c>
      <c r="R65" s="106">
        <v>0</v>
      </c>
      <c r="S65" s="106">
        <v>3</v>
      </c>
      <c r="T65" s="106">
        <v>2</v>
      </c>
      <c r="U65" s="106">
        <v>3</v>
      </c>
    </row>
    <row r="66" spans="1:29" x14ac:dyDescent="0.3">
      <c r="A66" s="105"/>
      <c r="B66" s="106"/>
      <c r="C66" s="107"/>
      <c r="D66" s="107"/>
      <c r="E66" s="106"/>
      <c r="F66" s="107"/>
      <c r="G66" s="106"/>
      <c r="H66" s="107"/>
      <c r="I66" s="106"/>
      <c r="J66" s="106"/>
      <c r="K66" s="106"/>
      <c r="L66" s="106"/>
      <c r="M66" s="106"/>
      <c r="N66" s="106"/>
      <c r="O66" s="106"/>
      <c r="P66" s="106"/>
      <c r="Q66" s="106"/>
      <c r="R66" s="106"/>
    </row>
    <row r="67" spans="1:29" x14ac:dyDescent="0.3">
      <c r="A67" s="105"/>
      <c r="B67" s="106"/>
      <c r="C67" s="107"/>
      <c r="D67" s="107"/>
      <c r="E67" s="106"/>
      <c r="F67" s="107"/>
      <c r="G67" s="106"/>
      <c r="H67" s="107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  <row r="68" spans="1:29" x14ac:dyDescent="0.3">
      <c r="A68" s="105"/>
      <c r="B68" s="106"/>
      <c r="C68" s="107"/>
      <c r="D68" s="107"/>
      <c r="E68" s="106"/>
      <c r="F68" s="107"/>
      <c r="G68" s="106"/>
      <c r="H68" s="107"/>
      <c r="I68" s="106"/>
      <c r="J68" s="106"/>
      <c r="K68" s="106"/>
      <c r="L68" s="106"/>
      <c r="M68" s="106"/>
      <c r="N68" s="106"/>
      <c r="O68" s="106"/>
      <c r="P68" s="106"/>
      <c r="Q68" s="106"/>
      <c r="R68" s="106"/>
    </row>
    <row r="70" spans="1:29" x14ac:dyDescent="0.3">
      <c r="A70" s="2"/>
      <c r="B70" s="14"/>
      <c r="C70" s="120"/>
      <c r="D70" s="120"/>
      <c r="E70" s="14"/>
      <c r="F70" s="120"/>
      <c r="G70" s="14"/>
      <c r="H70" s="120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29" x14ac:dyDescent="0.3">
      <c r="A71" s="2"/>
      <c r="B71" s="14"/>
      <c r="C71" s="120"/>
      <c r="D71" s="120"/>
      <c r="E71" s="14"/>
      <c r="F71" s="120"/>
      <c r="G71" s="14"/>
      <c r="H71" s="120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29" x14ac:dyDescent="0.3">
      <c r="A72" s="2"/>
      <c r="B72" s="14"/>
      <c r="C72" s="120"/>
      <c r="D72" s="120"/>
      <c r="E72" s="14"/>
      <c r="F72" s="120"/>
      <c r="G72" s="14"/>
      <c r="H72" s="120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29" x14ac:dyDescent="0.3">
      <c r="A73" s="2"/>
      <c r="B73" s="14"/>
      <c r="C73" s="120"/>
      <c r="D73" s="120"/>
      <c r="E73" s="14"/>
      <c r="F73" s="120"/>
      <c r="G73" s="14"/>
      <c r="H73" s="120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29" ht="18" x14ac:dyDescent="0.35">
      <c r="A74" s="100" t="s">
        <v>120</v>
      </c>
    </row>
    <row r="75" spans="1:29" x14ac:dyDescent="0.3">
      <c r="A75" s="64" t="s">
        <v>323</v>
      </c>
    </row>
    <row r="76" spans="1:29" x14ac:dyDescent="0.3">
      <c r="A76" s="64" t="s">
        <v>315</v>
      </c>
      <c r="J76" s="6"/>
      <c r="K76" s="6"/>
      <c r="L76" s="6"/>
      <c r="M76" s="6"/>
      <c r="T76" t="str">
        <f>IF(W80="ламель125",N87,IF(AND(W80="ламель150",W82="50мм"),V87,R87))</f>
        <v>125_25</v>
      </c>
    </row>
    <row r="77" spans="1:29" x14ac:dyDescent="0.3">
      <c r="A77" s="64" t="s">
        <v>316</v>
      </c>
      <c r="J77" s="14"/>
      <c r="K77" s="14"/>
      <c r="L77" s="14"/>
      <c r="M77" s="14"/>
    </row>
    <row r="78" spans="1:29" x14ac:dyDescent="0.3">
      <c r="A78" s="64" t="s">
        <v>324</v>
      </c>
      <c r="J78" s="14"/>
      <c r="L78" s="14"/>
      <c r="M78" s="14"/>
    </row>
    <row r="79" spans="1:29" x14ac:dyDescent="0.3">
      <c r="J79" s="14"/>
      <c r="L79" s="14"/>
      <c r="M79" s="14"/>
      <c r="R79" s="137">
        <v>2.25</v>
      </c>
    </row>
    <row r="80" spans="1:29" x14ac:dyDescent="0.3">
      <c r="A80" s="65"/>
      <c r="J80" s="14"/>
      <c r="L80" s="14"/>
      <c r="M80" s="14"/>
      <c r="W80" s="136" t="s">
        <v>315</v>
      </c>
      <c r="Z80" s="131" t="s">
        <v>142</v>
      </c>
      <c r="AA80" s="131" t="s">
        <v>116</v>
      </c>
      <c r="AB80" t="s">
        <v>322</v>
      </c>
      <c r="AC80" t="s">
        <v>321</v>
      </c>
    </row>
    <row r="81" spans="1:40" x14ac:dyDescent="0.3">
      <c r="A81" s="64" t="s">
        <v>10</v>
      </c>
      <c r="J81" s="14"/>
      <c r="L81" s="14"/>
      <c r="M81" s="14"/>
      <c r="Z81" t="s">
        <v>317</v>
      </c>
      <c r="AA81" t="s">
        <v>317</v>
      </c>
      <c r="AB81" t="s">
        <v>317</v>
      </c>
      <c r="AC81" t="s">
        <v>317</v>
      </c>
    </row>
    <row r="82" spans="1:40" x14ac:dyDescent="0.3">
      <c r="A82" s="64" t="s">
        <v>143</v>
      </c>
      <c r="J82" s="14"/>
      <c r="K82" s="14"/>
      <c r="L82" s="14"/>
      <c r="M82" s="14"/>
      <c r="W82" s="137" t="s">
        <v>317</v>
      </c>
      <c r="AA82" t="s">
        <v>318</v>
      </c>
      <c r="AB82" t="s">
        <v>318</v>
      </c>
      <c r="AC82" t="s">
        <v>318</v>
      </c>
    </row>
    <row r="83" spans="1:40" x14ac:dyDescent="0.3">
      <c r="A83" s="64" t="s">
        <v>144</v>
      </c>
      <c r="J83" s="14"/>
      <c r="K83" s="14"/>
      <c r="L83" s="14"/>
      <c r="M83" s="14"/>
    </row>
    <row r="84" spans="1:40" x14ac:dyDescent="0.3">
      <c r="A84" s="46"/>
      <c r="J84" s="14"/>
      <c r="K84" s="14"/>
      <c r="L84" s="14"/>
      <c r="M84" s="14"/>
    </row>
    <row r="85" spans="1:40" x14ac:dyDescent="0.3">
      <c r="A85" s="46"/>
      <c r="J85" s="14"/>
      <c r="K85" s="14"/>
      <c r="L85" s="14"/>
      <c r="M85" s="14"/>
    </row>
    <row r="86" spans="1:40" x14ac:dyDescent="0.3">
      <c r="A86" s="49">
        <v>1</v>
      </c>
      <c r="B86" s="49">
        <v>2</v>
      </c>
      <c r="C86" s="49">
        <v>3</v>
      </c>
      <c r="D86" s="49">
        <v>4</v>
      </c>
      <c r="E86" s="49">
        <v>5</v>
      </c>
      <c r="F86" s="49">
        <v>6</v>
      </c>
      <c r="G86" s="49">
        <v>7</v>
      </c>
      <c r="H86" s="49">
        <v>8</v>
      </c>
      <c r="I86" t="s">
        <v>202</v>
      </c>
      <c r="N86" s="49"/>
      <c r="O86" s="49"/>
      <c r="P86" s="49"/>
      <c r="V86" s="49"/>
      <c r="W86" s="49"/>
      <c r="X86" s="49"/>
    </row>
    <row r="87" spans="1:40" ht="39.6" x14ac:dyDescent="0.3">
      <c r="A87" s="212" t="s">
        <v>69</v>
      </c>
      <c r="B87" s="212" t="s">
        <v>70</v>
      </c>
      <c r="C87" s="212" t="s">
        <v>71</v>
      </c>
      <c r="D87" s="60" t="s">
        <v>72</v>
      </c>
      <c r="E87" s="60" t="s">
        <v>73</v>
      </c>
      <c r="F87" s="60" t="s">
        <v>72</v>
      </c>
      <c r="G87" s="60" t="s">
        <v>73</v>
      </c>
      <c r="H87" s="66"/>
      <c r="I87" s="60" t="s">
        <v>201</v>
      </c>
      <c r="J87" s="60" t="s">
        <v>203</v>
      </c>
      <c r="K87" s="60" t="s">
        <v>204</v>
      </c>
      <c r="L87" s="60" t="s">
        <v>205</v>
      </c>
      <c r="N87" s="140" t="s">
        <v>331</v>
      </c>
      <c r="O87" s="135" t="s">
        <v>70</v>
      </c>
      <c r="P87" s="135" t="s">
        <v>314</v>
      </c>
      <c r="R87" s="130" t="s">
        <v>319</v>
      </c>
      <c r="S87" s="60" t="s">
        <v>72</v>
      </c>
      <c r="T87" s="60" t="s">
        <v>314</v>
      </c>
      <c r="V87" s="140" t="s">
        <v>320</v>
      </c>
      <c r="W87" s="60" t="s">
        <v>72</v>
      </c>
      <c r="X87" s="60" t="s">
        <v>313</v>
      </c>
      <c r="Z87" s="130">
        <v>50</v>
      </c>
      <c r="AA87" s="60" t="s">
        <v>325</v>
      </c>
      <c r="AB87" s="60" t="s">
        <v>314</v>
      </c>
      <c r="AC87" s="138"/>
      <c r="AD87" s="130">
        <v>50</v>
      </c>
      <c r="AE87" s="60" t="s">
        <v>325</v>
      </c>
      <c r="AF87" s="60" t="s">
        <v>313</v>
      </c>
      <c r="AG87" s="138"/>
      <c r="AH87" s="130">
        <v>200</v>
      </c>
      <c r="AI87" s="60" t="s">
        <v>326</v>
      </c>
      <c r="AJ87" s="60" t="s">
        <v>314</v>
      </c>
      <c r="AK87" s="138"/>
      <c r="AL87" s="130">
        <v>200</v>
      </c>
      <c r="AM87" s="60" t="s">
        <v>326</v>
      </c>
      <c r="AN87" s="60" t="s">
        <v>313</v>
      </c>
    </row>
    <row r="88" spans="1:40" ht="15" customHeight="1" x14ac:dyDescent="0.3">
      <c r="A88" s="212"/>
      <c r="B88" s="212"/>
      <c r="C88" s="212"/>
      <c r="D88" s="212" t="s">
        <v>74</v>
      </c>
      <c r="E88" s="212"/>
      <c r="F88" s="212" t="s">
        <v>75</v>
      </c>
      <c r="G88" s="212"/>
      <c r="H88" s="66"/>
      <c r="I88" s="63">
        <v>125</v>
      </c>
      <c r="J88" s="63">
        <v>2.04</v>
      </c>
      <c r="K88" s="63">
        <v>25</v>
      </c>
      <c r="L88" s="63">
        <v>13</v>
      </c>
      <c r="N88" s="141">
        <v>0</v>
      </c>
      <c r="O88" s="23">
        <v>0</v>
      </c>
      <c r="P88" s="23" t="s">
        <v>10</v>
      </c>
      <c r="R88" s="62">
        <v>0</v>
      </c>
      <c r="S88" s="133">
        <v>0</v>
      </c>
      <c r="T88" s="62" t="s">
        <v>10</v>
      </c>
      <c r="V88" s="141">
        <v>0</v>
      </c>
      <c r="W88" s="133">
        <v>0</v>
      </c>
      <c r="X88" s="62" t="s">
        <v>10</v>
      </c>
      <c r="Z88" s="62">
        <v>0</v>
      </c>
      <c r="AA88" s="133">
        <v>0</v>
      </c>
      <c r="AB88" s="62" t="s">
        <v>10</v>
      </c>
      <c r="AD88" s="62">
        <v>0</v>
      </c>
      <c r="AE88" s="133">
        <v>0</v>
      </c>
      <c r="AF88" s="62" t="s">
        <v>10</v>
      </c>
      <c r="AH88" s="62">
        <v>0</v>
      </c>
      <c r="AI88" s="133">
        <v>0</v>
      </c>
      <c r="AJ88" s="62" t="s">
        <v>10</v>
      </c>
      <c r="AL88" s="62">
        <v>0</v>
      </c>
      <c r="AM88" s="133">
        <v>0</v>
      </c>
      <c r="AN88" s="62" t="s">
        <v>10</v>
      </c>
    </row>
    <row r="89" spans="1:40" ht="15" customHeight="1" x14ac:dyDescent="0.3">
      <c r="A89" s="62">
        <v>0</v>
      </c>
      <c r="B89" s="23">
        <v>0</v>
      </c>
      <c r="C89" s="23" t="s">
        <v>10</v>
      </c>
      <c r="D89" s="23">
        <v>0</v>
      </c>
      <c r="E89" s="23" t="s">
        <v>10</v>
      </c>
      <c r="F89" s="23">
        <v>0</v>
      </c>
      <c r="G89" s="23" t="s">
        <v>10</v>
      </c>
      <c r="H89" s="23"/>
      <c r="I89" s="63">
        <v>150</v>
      </c>
      <c r="J89" s="63">
        <v>2.11</v>
      </c>
      <c r="K89" s="63">
        <v>50</v>
      </c>
      <c r="L89" s="63">
        <v>10</v>
      </c>
      <c r="N89" s="141">
        <v>1.05</v>
      </c>
      <c r="O89" s="23">
        <v>7</v>
      </c>
      <c r="P89" s="23">
        <v>25</v>
      </c>
      <c r="R89" s="62">
        <v>1.05</v>
      </c>
      <c r="S89" s="133">
        <v>6</v>
      </c>
      <c r="T89" s="133">
        <v>25</v>
      </c>
      <c r="V89" s="141">
        <v>1</v>
      </c>
      <c r="W89" s="133">
        <v>5</v>
      </c>
      <c r="X89" s="133">
        <v>50</v>
      </c>
      <c r="Z89" s="62">
        <v>0.97499999999999998</v>
      </c>
      <c r="AA89" s="133">
        <f>Z89/0.075</f>
        <v>13</v>
      </c>
      <c r="AB89" s="133">
        <v>25</v>
      </c>
      <c r="AD89" s="62">
        <v>1</v>
      </c>
      <c r="AE89" s="133">
        <f>AD89/0.1</f>
        <v>10</v>
      </c>
      <c r="AF89" s="133">
        <v>50</v>
      </c>
      <c r="AH89" s="62">
        <v>0.9</v>
      </c>
      <c r="AI89" s="133">
        <f>AH89/0.225</f>
        <v>4</v>
      </c>
      <c r="AJ89" s="133">
        <v>25</v>
      </c>
      <c r="AL89" s="62">
        <v>1</v>
      </c>
      <c r="AM89" s="133">
        <f>AL89/0.25</f>
        <v>4</v>
      </c>
      <c r="AN89" s="133">
        <v>50</v>
      </c>
    </row>
    <row r="90" spans="1:40" x14ac:dyDescent="0.3">
      <c r="A90" s="62">
        <v>1</v>
      </c>
      <c r="B90" s="23">
        <v>6</v>
      </c>
      <c r="C90" s="23">
        <v>41.7</v>
      </c>
      <c r="D90" s="23">
        <v>5</v>
      </c>
      <c r="E90" s="23">
        <v>50</v>
      </c>
      <c r="F90" s="23">
        <v>5</v>
      </c>
      <c r="G90" s="23">
        <v>50</v>
      </c>
      <c r="H90" s="62"/>
      <c r="N90" s="141">
        <v>1.2</v>
      </c>
      <c r="O90" s="23">
        <v>8</v>
      </c>
      <c r="P90" s="23">
        <v>25</v>
      </c>
      <c r="R90" s="62">
        <v>1.4</v>
      </c>
      <c r="S90" s="133">
        <v>8</v>
      </c>
      <c r="T90" s="133">
        <v>25</v>
      </c>
      <c r="V90" s="141">
        <v>1.2</v>
      </c>
      <c r="W90" s="133">
        <v>6</v>
      </c>
      <c r="X90" s="133">
        <v>50</v>
      </c>
      <c r="Z90" s="62">
        <v>1.05</v>
      </c>
      <c r="AA90" s="133">
        <f t="shared" ref="AA90:AA116" si="1">Z90/0.075</f>
        <v>14.000000000000002</v>
      </c>
      <c r="AB90" s="133">
        <v>25</v>
      </c>
      <c r="AD90" s="62">
        <v>1.1000000000000001</v>
      </c>
      <c r="AE90" s="133">
        <f t="shared" ref="AE90:AE109" si="2">AD90/0.1</f>
        <v>11</v>
      </c>
      <c r="AF90" s="133">
        <v>50</v>
      </c>
      <c r="AH90" s="62">
        <v>1.125</v>
      </c>
      <c r="AI90" s="133">
        <f t="shared" ref="AI90:AI98" si="3">AH90/0.225</f>
        <v>5</v>
      </c>
      <c r="AJ90" s="133">
        <v>25</v>
      </c>
      <c r="AL90" s="62">
        <v>1.25</v>
      </c>
      <c r="AM90" s="133">
        <f t="shared" ref="AM90:AM97" si="4">AL90/0.25</f>
        <v>5</v>
      </c>
      <c r="AN90" s="133">
        <v>50</v>
      </c>
    </row>
    <row r="91" spans="1:40" x14ac:dyDescent="0.3">
      <c r="A91" s="62">
        <v>1.05</v>
      </c>
      <c r="B91" s="23">
        <v>7</v>
      </c>
      <c r="C91" s="23">
        <v>25</v>
      </c>
      <c r="D91" s="23">
        <v>6</v>
      </c>
      <c r="E91" s="23">
        <v>25</v>
      </c>
      <c r="F91" s="23">
        <v>5</v>
      </c>
      <c r="G91" s="23">
        <v>60</v>
      </c>
      <c r="H91" s="62"/>
      <c r="N91" s="141">
        <v>1.35</v>
      </c>
      <c r="O91" s="23">
        <v>9</v>
      </c>
      <c r="P91" s="23">
        <v>25</v>
      </c>
      <c r="R91" s="62">
        <v>1.75</v>
      </c>
      <c r="S91" s="133">
        <v>10</v>
      </c>
      <c r="T91" s="133">
        <v>25</v>
      </c>
      <c r="V91" s="141">
        <v>1.4</v>
      </c>
      <c r="W91" s="133">
        <v>7</v>
      </c>
      <c r="X91" s="133">
        <v>50</v>
      </c>
      <c r="Z91" s="62">
        <v>1.125</v>
      </c>
      <c r="AA91" s="133">
        <f t="shared" si="1"/>
        <v>15</v>
      </c>
      <c r="AB91" s="133">
        <v>25</v>
      </c>
      <c r="AD91" s="62">
        <v>1.2</v>
      </c>
      <c r="AE91" s="133">
        <f t="shared" si="2"/>
        <v>11.999999999999998</v>
      </c>
      <c r="AF91" s="133">
        <v>50</v>
      </c>
      <c r="AH91" s="62">
        <v>1.35</v>
      </c>
      <c r="AI91" s="133">
        <f t="shared" si="3"/>
        <v>6</v>
      </c>
      <c r="AJ91" s="133">
        <v>25</v>
      </c>
      <c r="AL91" s="62">
        <v>1.5</v>
      </c>
      <c r="AM91" s="133">
        <f t="shared" si="4"/>
        <v>6</v>
      </c>
      <c r="AN91" s="133">
        <v>50</v>
      </c>
    </row>
    <row r="92" spans="1:40" x14ac:dyDescent="0.3">
      <c r="A92" s="62">
        <v>1.1000000000000001</v>
      </c>
      <c r="B92" s="23">
        <v>7</v>
      </c>
      <c r="C92" s="23">
        <v>32.1</v>
      </c>
      <c r="D92" s="23">
        <v>6</v>
      </c>
      <c r="E92" s="23">
        <v>33.299999999999997</v>
      </c>
      <c r="F92" s="23">
        <v>5</v>
      </c>
      <c r="G92" s="23">
        <v>70</v>
      </c>
      <c r="H92" s="62"/>
      <c r="N92" s="141">
        <v>1.5</v>
      </c>
      <c r="O92" s="23">
        <v>10</v>
      </c>
      <c r="P92" s="23">
        <v>25</v>
      </c>
      <c r="R92" s="62">
        <v>2.1</v>
      </c>
      <c r="S92" s="133">
        <v>12</v>
      </c>
      <c r="T92" s="133">
        <v>25</v>
      </c>
      <c r="V92" s="141">
        <v>1.6</v>
      </c>
      <c r="W92" s="133">
        <v>8</v>
      </c>
      <c r="X92" s="133">
        <v>50</v>
      </c>
      <c r="Z92" s="62">
        <v>1.2</v>
      </c>
      <c r="AA92" s="133">
        <f t="shared" si="1"/>
        <v>16</v>
      </c>
      <c r="AB92" s="133">
        <v>25</v>
      </c>
      <c r="AD92" s="62">
        <v>1.3</v>
      </c>
      <c r="AE92" s="133">
        <f t="shared" si="2"/>
        <v>13</v>
      </c>
      <c r="AF92" s="133">
        <v>50</v>
      </c>
      <c r="AH92" s="62">
        <v>1.5750000000000002</v>
      </c>
      <c r="AI92" s="133">
        <f t="shared" si="3"/>
        <v>7.0000000000000009</v>
      </c>
      <c r="AJ92" s="133">
        <v>25</v>
      </c>
      <c r="AL92" s="62">
        <v>1.75</v>
      </c>
      <c r="AM92" s="133">
        <f t="shared" si="4"/>
        <v>7</v>
      </c>
      <c r="AN92" s="133">
        <v>50</v>
      </c>
    </row>
    <row r="93" spans="1:40" x14ac:dyDescent="0.3">
      <c r="A93" s="62">
        <v>1.1499999999999999</v>
      </c>
      <c r="B93" s="23">
        <v>7</v>
      </c>
      <c r="C93" s="23">
        <v>39.299999999999997</v>
      </c>
      <c r="D93" s="23">
        <v>6</v>
      </c>
      <c r="E93" s="23">
        <v>41.7</v>
      </c>
      <c r="F93" s="23">
        <v>5</v>
      </c>
      <c r="G93" s="23">
        <v>80</v>
      </c>
      <c r="H93" s="62"/>
      <c r="N93" s="141">
        <v>1.65</v>
      </c>
      <c r="O93" s="23">
        <v>11</v>
      </c>
      <c r="P93" s="23">
        <v>25</v>
      </c>
      <c r="R93" s="132">
        <v>2.4500000000000002</v>
      </c>
      <c r="S93" s="134">
        <v>14</v>
      </c>
      <c r="T93" s="133">
        <v>25</v>
      </c>
      <c r="V93" s="141">
        <v>1.8</v>
      </c>
      <c r="W93" s="134">
        <v>9</v>
      </c>
      <c r="X93" s="133">
        <v>50</v>
      </c>
      <c r="Z93" s="62">
        <v>1.2749999999999999</v>
      </c>
      <c r="AA93" s="133">
        <f t="shared" si="1"/>
        <v>17</v>
      </c>
      <c r="AB93" s="133">
        <v>25</v>
      </c>
      <c r="AD93" s="62">
        <v>1.4</v>
      </c>
      <c r="AE93" s="133">
        <f t="shared" si="2"/>
        <v>13.999999999999998</v>
      </c>
      <c r="AF93" s="133">
        <v>50</v>
      </c>
      <c r="AH93" s="62">
        <v>1.8</v>
      </c>
      <c r="AI93" s="133">
        <f t="shared" si="3"/>
        <v>8</v>
      </c>
      <c r="AJ93" s="133">
        <v>25</v>
      </c>
      <c r="AL93" s="62">
        <v>2</v>
      </c>
      <c r="AM93" s="133">
        <f t="shared" si="4"/>
        <v>8</v>
      </c>
      <c r="AN93" s="133">
        <v>50</v>
      </c>
    </row>
    <row r="94" spans="1:40" x14ac:dyDescent="0.3">
      <c r="A94" s="62">
        <v>1.2</v>
      </c>
      <c r="B94" s="23">
        <v>8</v>
      </c>
      <c r="C94" s="23">
        <v>25</v>
      </c>
      <c r="D94" s="23">
        <v>6</v>
      </c>
      <c r="E94" s="23">
        <v>50</v>
      </c>
      <c r="F94" s="23">
        <v>6</v>
      </c>
      <c r="G94" s="23">
        <v>50</v>
      </c>
      <c r="H94" s="62"/>
      <c r="N94" s="141">
        <v>1.8</v>
      </c>
      <c r="O94" s="23">
        <v>12</v>
      </c>
      <c r="P94" s="23">
        <v>25</v>
      </c>
      <c r="R94" s="62">
        <v>2.8</v>
      </c>
      <c r="S94" s="133">
        <v>16</v>
      </c>
      <c r="T94" s="133">
        <v>25</v>
      </c>
      <c r="V94" s="141">
        <v>2</v>
      </c>
      <c r="W94" s="133">
        <v>10</v>
      </c>
      <c r="X94" s="133">
        <v>50</v>
      </c>
      <c r="Z94" s="62">
        <v>1.35</v>
      </c>
      <c r="AA94" s="133">
        <f t="shared" si="1"/>
        <v>18.000000000000004</v>
      </c>
      <c r="AB94" s="133">
        <v>25</v>
      </c>
      <c r="AD94" s="62">
        <v>1.5</v>
      </c>
      <c r="AE94" s="133">
        <f t="shared" si="2"/>
        <v>15</v>
      </c>
      <c r="AF94" s="133">
        <v>50</v>
      </c>
      <c r="AH94" s="62">
        <v>2.0249999999999999</v>
      </c>
      <c r="AI94" s="133">
        <f t="shared" si="3"/>
        <v>9</v>
      </c>
      <c r="AJ94" s="133">
        <v>25</v>
      </c>
      <c r="AL94" s="62">
        <v>2.25</v>
      </c>
      <c r="AM94" s="133">
        <f t="shared" si="4"/>
        <v>9</v>
      </c>
      <c r="AN94" s="133">
        <v>50</v>
      </c>
    </row>
    <row r="95" spans="1:40" x14ac:dyDescent="0.3">
      <c r="A95" s="62">
        <v>1.25</v>
      </c>
      <c r="B95" s="23">
        <v>8</v>
      </c>
      <c r="C95" s="23">
        <v>31.3</v>
      </c>
      <c r="D95" s="23">
        <v>7</v>
      </c>
      <c r="E95" s="23">
        <v>28.6</v>
      </c>
      <c r="F95" s="23">
        <v>6</v>
      </c>
      <c r="G95" s="23">
        <v>58.3</v>
      </c>
      <c r="H95" s="62"/>
      <c r="N95" s="141">
        <v>1.95</v>
      </c>
      <c r="O95" s="23">
        <v>13</v>
      </c>
      <c r="P95" s="23">
        <v>25</v>
      </c>
      <c r="V95" s="141">
        <v>2.2000000000000002</v>
      </c>
      <c r="W95" s="133">
        <v>11</v>
      </c>
      <c r="X95" s="133">
        <v>50</v>
      </c>
      <c r="Z95" s="62">
        <v>1.4249999999999998</v>
      </c>
      <c r="AA95" s="133">
        <f t="shared" si="1"/>
        <v>19</v>
      </c>
      <c r="AB95" s="133">
        <v>25</v>
      </c>
      <c r="AD95" s="62">
        <v>1.6</v>
      </c>
      <c r="AE95" s="133">
        <f t="shared" si="2"/>
        <v>16</v>
      </c>
      <c r="AF95" s="133">
        <v>50</v>
      </c>
      <c r="AH95" s="62">
        <v>2.25</v>
      </c>
      <c r="AI95" s="133">
        <f t="shared" si="3"/>
        <v>10</v>
      </c>
      <c r="AJ95" s="133">
        <v>25</v>
      </c>
      <c r="AL95" s="62">
        <v>2.5</v>
      </c>
      <c r="AM95" s="133">
        <f t="shared" si="4"/>
        <v>10</v>
      </c>
      <c r="AN95" s="133">
        <v>50</v>
      </c>
    </row>
    <row r="96" spans="1:40" x14ac:dyDescent="0.3">
      <c r="A96" s="62">
        <v>1.3</v>
      </c>
      <c r="B96" s="23">
        <v>8</v>
      </c>
      <c r="C96" s="23">
        <v>37.5</v>
      </c>
      <c r="D96" s="23">
        <v>7</v>
      </c>
      <c r="E96" s="23">
        <v>35.700000000000003</v>
      </c>
      <c r="F96" s="23">
        <v>6</v>
      </c>
      <c r="G96" s="23">
        <v>66.7</v>
      </c>
      <c r="H96" s="62"/>
      <c r="N96" s="141">
        <v>2.1</v>
      </c>
      <c r="O96" s="23">
        <v>14</v>
      </c>
      <c r="P96" s="23">
        <v>25</v>
      </c>
      <c r="V96" s="141">
        <v>2.4</v>
      </c>
      <c r="W96" s="133">
        <v>12</v>
      </c>
      <c r="X96" s="133">
        <v>50</v>
      </c>
      <c r="Z96" s="62">
        <v>1.5</v>
      </c>
      <c r="AA96" s="133">
        <f t="shared" si="1"/>
        <v>20</v>
      </c>
      <c r="AB96" s="133">
        <v>25</v>
      </c>
      <c r="AD96" s="62">
        <v>1.7000000000000002</v>
      </c>
      <c r="AE96" s="133">
        <f t="shared" si="2"/>
        <v>17</v>
      </c>
      <c r="AF96" s="133">
        <v>50</v>
      </c>
      <c r="AH96" s="62">
        <v>2.4750000000000001</v>
      </c>
      <c r="AI96" s="133">
        <f t="shared" si="3"/>
        <v>11</v>
      </c>
      <c r="AJ96" s="133">
        <v>25</v>
      </c>
      <c r="AL96" s="62">
        <v>2.75</v>
      </c>
      <c r="AM96" s="133">
        <f t="shared" si="4"/>
        <v>11</v>
      </c>
      <c r="AN96" s="133">
        <v>50</v>
      </c>
    </row>
    <row r="97" spans="1:40" x14ac:dyDescent="0.3">
      <c r="A97" s="62">
        <v>1.35</v>
      </c>
      <c r="B97" s="23">
        <v>9</v>
      </c>
      <c r="C97" s="23">
        <v>25</v>
      </c>
      <c r="D97" s="23">
        <v>7</v>
      </c>
      <c r="E97" s="23">
        <v>42.9</v>
      </c>
      <c r="F97" s="23">
        <v>6</v>
      </c>
      <c r="G97" s="23">
        <v>75</v>
      </c>
      <c r="H97" s="62"/>
      <c r="N97" s="141">
        <v>2.25</v>
      </c>
      <c r="O97" s="23">
        <v>15</v>
      </c>
      <c r="P97" s="23">
        <v>25</v>
      </c>
      <c r="V97" s="141">
        <v>2.6</v>
      </c>
      <c r="W97" s="133">
        <v>13</v>
      </c>
      <c r="X97" s="133">
        <v>50</v>
      </c>
      <c r="Z97" s="62">
        <v>1.575</v>
      </c>
      <c r="AA97" s="133">
        <f t="shared" si="1"/>
        <v>21</v>
      </c>
      <c r="AB97" s="133">
        <v>25</v>
      </c>
      <c r="AD97" s="62">
        <v>1.8</v>
      </c>
      <c r="AE97" s="133">
        <f t="shared" si="2"/>
        <v>18</v>
      </c>
      <c r="AF97" s="133">
        <v>50</v>
      </c>
      <c r="AH97" s="62">
        <v>2.7</v>
      </c>
      <c r="AI97" s="133">
        <f t="shared" si="3"/>
        <v>12</v>
      </c>
      <c r="AJ97" s="133">
        <v>25</v>
      </c>
      <c r="AL97" s="62">
        <v>3</v>
      </c>
      <c r="AM97" s="133">
        <f t="shared" si="4"/>
        <v>12</v>
      </c>
      <c r="AN97" s="133">
        <v>50</v>
      </c>
    </row>
    <row r="98" spans="1:40" x14ac:dyDescent="0.3">
      <c r="A98" s="62">
        <v>1.4</v>
      </c>
      <c r="B98" s="23">
        <v>9</v>
      </c>
      <c r="C98" s="23">
        <v>30.6</v>
      </c>
      <c r="D98" s="23">
        <v>8</v>
      </c>
      <c r="E98" s="23">
        <v>25</v>
      </c>
      <c r="F98" s="23">
        <v>7</v>
      </c>
      <c r="G98" s="23">
        <v>50</v>
      </c>
      <c r="H98" s="62"/>
      <c r="N98" s="141">
        <v>2.4</v>
      </c>
      <c r="O98" s="23">
        <v>16</v>
      </c>
      <c r="P98" s="23">
        <v>25</v>
      </c>
      <c r="V98" s="141">
        <v>2.8</v>
      </c>
      <c r="W98" s="133">
        <v>14</v>
      </c>
      <c r="X98" s="133">
        <v>50</v>
      </c>
      <c r="Z98" s="62">
        <v>1.65</v>
      </c>
      <c r="AA98" s="133">
        <f t="shared" si="1"/>
        <v>22</v>
      </c>
      <c r="AB98" s="133">
        <v>25</v>
      </c>
      <c r="AD98" s="62">
        <v>1.9</v>
      </c>
      <c r="AE98" s="133">
        <f t="shared" si="2"/>
        <v>18.999999999999996</v>
      </c>
      <c r="AF98" s="133">
        <v>50</v>
      </c>
      <c r="AH98" s="62">
        <v>2.9249999999999998</v>
      </c>
      <c r="AI98" s="133">
        <f t="shared" si="3"/>
        <v>12.999999999999998</v>
      </c>
      <c r="AJ98" s="133">
        <v>25</v>
      </c>
    </row>
    <row r="99" spans="1:40" x14ac:dyDescent="0.3">
      <c r="A99" s="62">
        <v>1.45</v>
      </c>
      <c r="B99" s="23">
        <v>9</v>
      </c>
      <c r="C99" s="23">
        <v>36.1</v>
      </c>
      <c r="D99" s="23">
        <v>8</v>
      </c>
      <c r="E99" s="23">
        <v>31.3</v>
      </c>
      <c r="F99" s="23">
        <v>7</v>
      </c>
      <c r="G99" s="23">
        <v>57.1</v>
      </c>
      <c r="H99" s="62"/>
      <c r="N99" s="141">
        <v>2.5499999999999998</v>
      </c>
      <c r="O99" s="23">
        <v>17</v>
      </c>
      <c r="P99" s="23">
        <v>25</v>
      </c>
      <c r="V99" s="62">
        <v>3</v>
      </c>
      <c r="W99" s="133">
        <v>15</v>
      </c>
      <c r="X99" s="133">
        <v>50</v>
      </c>
      <c r="Z99" s="62">
        <v>1.7250000000000001</v>
      </c>
      <c r="AA99" s="133">
        <f t="shared" si="1"/>
        <v>23.000000000000004</v>
      </c>
      <c r="AB99" s="133">
        <v>25</v>
      </c>
      <c r="AD99" s="62">
        <v>2</v>
      </c>
      <c r="AE99" s="133">
        <f t="shared" si="2"/>
        <v>20</v>
      </c>
      <c r="AF99" s="133">
        <v>50</v>
      </c>
    </row>
    <row r="100" spans="1:40" x14ac:dyDescent="0.3">
      <c r="A100" s="62">
        <v>1.5</v>
      </c>
      <c r="B100" s="23">
        <v>10</v>
      </c>
      <c r="C100" s="23">
        <v>25</v>
      </c>
      <c r="D100" s="23">
        <v>8</v>
      </c>
      <c r="E100" s="23">
        <v>37.5</v>
      </c>
      <c r="F100" s="23">
        <v>7</v>
      </c>
      <c r="G100" s="23">
        <v>64.3</v>
      </c>
      <c r="H100" s="62"/>
      <c r="N100" s="141">
        <v>2.7</v>
      </c>
      <c r="O100" s="23">
        <v>18</v>
      </c>
      <c r="P100" s="23">
        <v>25</v>
      </c>
      <c r="Z100" s="62">
        <v>1.7999999999999998</v>
      </c>
      <c r="AA100" s="133">
        <f t="shared" si="1"/>
        <v>24</v>
      </c>
      <c r="AB100" s="133">
        <v>25</v>
      </c>
      <c r="AD100" s="62">
        <v>2.1</v>
      </c>
      <c r="AE100" s="133">
        <f t="shared" si="2"/>
        <v>21</v>
      </c>
      <c r="AF100" s="133">
        <v>50</v>
      </c>
    </row>
    <row r="101" spans="1:40" x14ac:dyDescent="0.3">
      <c r="A101" s="62">
        <v>1.55</v>
      </c>
      <c r="B101" s="23">
        <v>10</v>
      </c>
      <c r="C101" s="23">
        <v>30</v>
      </c>
      <c r="D101" s="23">
        <v>8</v>
      </c>
      <c r="E101" s="23">
        <v>43.8</v>
      </c>
      <c r="F101" s="23">
        <v>7</v>
      </c>
      <c r="G101" s="23">
        <v>71.400000000000006</v>
      </c>
      <c r="H101" s="62"/>
      <c r="N101" s="141">
        <v>2.85</v>
      </c>
      <c r="O101" s="23">
        <v>19</v>
      </c>
      <c r="P101" s="23">
        <v>25</v>
      </c>
      <c r="Z101" s="62">
        <v>1.875</v>
      </c>
      <c r="AA101" s="133">
        <f t="shared" si="1"/>
        <v>25</v>
      </c>
      <c r="AB101" s="133">
        <v>25</v>
      </c>
      <c r="AD101" s="62">
        <v>2.2000000000000002</v>
      </c>
      <c r="AE101" s="133">
        <f t="shared" si="2"/>
        <v>22</v>
      </c>
      <c r="AF101" s="133">
        <v>50</v>
      </c>
      <c r="AH101" s="139"/>
    </row>
    <row r="102" spans="1:40" x14ac:dyDescent="0.3">
      <c r="A102" s="62">
        <v>1.6</v>
      </c>
      <c r="B102" s="23">
        <v>10</v>
      </c>
      <c r="C102" s="23">
        <v>35</v>
      </c>
      <c r="D102" s="23">
        <v>9</v>
      </c>
      <c r="E102" s="23">
        <v>27.8</v>
      </c>
      <c r="F102" s="23">
        <v>8</v>
      </c>
      <c r="G102" s="23">
        <v>50</v>
      </c>
      <c r="H102" s="62"/>
      <c r="N102" s="62">
        <v>3</v>
      </c>
      <c r="O102" s="23">
        <v>20</v>
      </c>
      <c r="P102" s="23">
        <v>25</v>
      </c>
      <c r="Z102" s="62">
        <v>1.95</v>
      </c>
      <c r="AA102" s="133">
        <f t="shared" si="1"/>
        <v>26</v>
      </c>
      <c r="AB102" s="133">
        <v>25</v>
      </c>
      <c r="AD102" s="62">
        <v>2.2999999999999998</v>
      </c>
      <c r="AE102" s="133">
        <f t="shared" si="2"/>
        <v>22.999999999999996</v>
      </c>
      <c r="AF102" s="133">
        <v>50</v>
      </c>
    </row>
    <row r="103" spans="1:40" x14ac:dyDescent="0.3">
      <c r="A103" s="62">
        <v>1.65</v>
      </c>
      <c r="B103" s="23">
        <v>11</v>
      </c>
      <c r="C103" s="23">
        <v>25</v>
      </c>
      <c r="D103" s="23">
        <v>9</v>
      </c>
      <c r="E103" s="23">
        <v>33.299999999999997</v>
      </c>
      <c r="F103" s="23">
        <v>8</v>
      </c>
      <c r="G103" s="23">
        <v>56.3</v>
      </c>
      <c r="H103" s="62"/>
      <c r="Z103" s="62">
        <v>2.0249999999999999</v>
      </c>
      <c r="AA103" s="133">
        <f t="shared" si="1"/>
        <v>27</v>
      </c>
      <c r="AB103" s="133">
        <v>25</v>
      </c>
      <c r="AD103" s="62">
        <v>2.4000000000000004</v>
      </c>
      <c r="AE103" s="133">
        <f t="shared" si="2"/>
        <v>24.000000000000004</v>
      </c>
      <c r="AF103" s="133">
        <v>50</v>
      </c>
    </row>
    <row r="104" spans="1:40" x14ac:dyDescent="0.3">
      <c r="A104" s="62">
        <v>1.7</v>
      </c>
      <c r="B104" s="23">
        <v>11</v>
      </c>
      <c r="C104" s="23">
        <v>29.5</v>
      </c>
      <c r="D104" s="23">
        <v>9</v>
      </c>
      <c r="E104" s="23">
        <v>38.9</v>
      </c>
      <c r="F104" s="23">
        <v>8</v>
      </c>
      <c r="G104" s="23">
        <v>62.5</v>
      </c>
      <c r="H104" s="62"/>
      <c r="Z104" s="62">
        <v>2.1</v>
      </c>
      <c r="AA104" s="133">
        <f t="shared" si="1"/>
        <v>28.000000000000004</v>
      </c>
      <c r="AB104" s="133">
        <v>25</v>
      </c>
      <c r="AD104" s="62">
        <v>2.5</v>
      </c>
      <c r="AE104" s="133">
        <f t="shared" si="2"/>
        <v>25</v>
      </c>
      <c r="AF104" s="133">
        <v>50</v>
      </c>
    </row>
    <row r="105" spans="1:40" x14ac:dyDescent="0.3">
      <c r="A105" s="62">
        <v>1.75</v>
      </c>
      <c r="B105" s="23">
        <v>11</v>
      </c>
      <c r="C105" s="23">
        <v>34.1</v>
      </c>
      <c r="D105" s="23">
        <v>10</v>
      </c>
      <c r="E105" s="23">
        <v>25</v>
      </c>
      <c r="F105" s="23">
        <v>8</v>
      </c>
      <c r="G105" s="23">
        <v>68.8</v>
      </c>
      <c r="H105" s="62"/>
      <c r="Z105" s="62">
        <v>2.1749999999999998</v>
      </c>
      <c r="AA105" s="133">
        <f t="shared" si="1"/>
        <v>29</v>
      </c>
      <c r="AB105" s="133">
        <v>25</v>
      </c>
      <c r="AD105" s="62">
        <v>2.6</v>
      </c>
      <c r="AE105" s="133">
        <f t="shared" si="2"/>
        <v>26</v>
      </c>
      <c r="AF105" s="133">
        <v>50</v>
      </c>
    </row>
    <row r="106" spans="1:40" x14ac:dyDescent="0.3">
      <c r="A106" s="62">
        <v>1.8</v>
      </c>
      <c r="B106" s="23">
        <v>12</v>
      </c>
      <c r="C106" s="23">
        <v>25</v>
      </c>
      <c r="D106" s="23">
        <v>10</v>
      </c>
      <c r="E106" s="23">
        <v>30</v>
      </c>
      <c r="F106" s="23">
        <v>9</v>
      </c>
      <c r="G106" s="23">
        <v>50</v>
      </c>
      <c r="H106" s="62"/>
      <c r="Z106" s="62">
        <v>2.25</v>
      </c>
      <c r="AA106" s="133">
        <f t="shared" si="1"/>
        <v>30</v>
      </c>
      <c r="AB106" s="133">
        <v>25</v>
      </c>
      <c r="AD106" s="62">
        <v>2.7</v>
      </c>
      <c r="AE106" s="133">
        <f t="shared" si="2"/>
        <v>27</v>
      </c>
      <c r="AF106" s="133">
        <v>50</v>
      </c>
    </row>
    <row r="107" spans="1:40" x14ac:dyDescent="0.3">
      <c r="A107" s="62">
        <v>1.85</v>
      </c>
      <c r="B107" s="23">
        <v>12</v>
      </c>
      <c r="C107" s="23">
        <v>29.2</v>
      </c>
      <c r="D107" s="23">
        <v>10</v>
      </c>
      <c r="E107" s="23">
        <v>35</v>
      </c>
      <c r="F107" s="23">
        <v>9</v>
      </c>
      <c r="G107" s="23">
        <v>55.6</v>
      </c>
      <c r="H107" s="62"/>
      <c r="Z107" s="62">
        <v>2.3249999999999997</v>
      </c>
      <c r="AA107" s="133">
        <f t="shared" si="1"/>
        <v>30.999999999999996</v>
      </c>
      <c r="AB107" s="133">
        <v>25</v>
      </c>
      <c r="AD107" s="62">
        <v>2.8</v>
      </c>
      <c r="AE107" s="133">
        <f t="shared" si="2"/>
        <v>27.999999999999996</v>
      </c>
      <c r="AF107" s="133">
        <v>50</v>
      </c>
    </row>
    <row r="108" spans="1:40" x14ac:dyDescent="0.3">
      <c r="A108" s="62">
        <v>1.9</v>
      </c>
      <c r="B108" s="23">
        <v>12</v>
      </c>
      <c r="C108" s="23">
        <v>33.299999999999997</v>
      </c>
      <c r="D108" s="23">
        <v>10</v>
      </c>
      <c r="E108" s="23">
        <v>40</v>
      </c>
      <c r="F108" s="23">
        <v>9</v>
      </c>
      <c r="G108" s="23">
        <v>61.1</v>
      </c>
      <c r="H108" s="62"/>
      <c r="Z108" s="62">
        <v>2.4</v>
      </c>
      <c r="AA108" s="133">
        <f t="shared" si="1"/>
        <v>32</v>
      </c>
      <c r="AB108" s="133">
        <v>25</v>
      </c>
      <c r="AD108" s="62">
        <v>2.9000000000000004</v>
      </c>
      <c r="AE108" s="133">
        <f t="shared" si="2"/>
        <v>29.000000000000004</v>
      </c>
      <c r="AF108" s="133">
        <v>50</v>
      </c>
    </row>
    <row r="109" spans="1:40" x14ac:dyDescent="0.3">
      <c r="A109" s="62">
        <v>1.95</v>
      </c>
      <c r="B109" s="23">
        <v>13</v>
      </c>
      <c r="C109" s="23">
        <v>25</v>
      </c>
      <c r="D109" s="23">
        <v>11</v>
      </c>
      <c r="E109" s="23">
        <v>27.3</v>
      </c>
      <c r="F109" s="23">
        <v>9</v>
      </c>
      <c r="G109" s="23">
        <v>66.7</v>
      </c>
      <c r="H109" s="62"/>
      <c r="Z109" s="62">
        <v>2.4750000000000001</v>
      </c>
      <c r="AA109" s="133">
        <f t="shared" si="1"/>
        <v>33</v>
      </c>
      <c r="AB109" s="133">
        <v>25</v>
      </c>
      <c r="AD109" s="62">
        <v>3</v>
      </c>
      <c r="AE109" s="133">
        <f t="shared" si="2"/>
        <v>30</v>
      </c>
      <c r="AF109" s="133">
        <v>50</v>
      </c>
    </row>
    <row r="110" spans="1:40" x14ac:dyDescent="0.3">
      <c r="A110" s="62">
        <v>2</v>
      </c>
      <c r="B110" s="23">
        <v>13</v>
      </c>
      <c r="C110" s="23">
        <v>28.8</v>
      </c>
      <c r="D110" s="23">
        <v>11</v>
      </c>
      <c r="E110" s="23">
        <v>31.8</v>
      </c>
      <c r="F110" s="23">
        <v>10</v>
      </c>
      <c r="G110" s="23">
        <v>50</v>
      </c>
      <c r="H110" s="62"/>
      <c r="Z110" s="62">
        <v>2.5499999999999998</v>
      </c>
      <c r="AA110" s="133">
        <f t="shared" si="1"/>
        <v>34</v>
      </c>
      <c r="AB110" s="133">
        <v>25</v>
      </c>
    </row>
    <row r="111" spans="1:40" x14ac:dyDescent="0.3">
      <c r="A111" s="62">
        <v>2.0499999999999998</v>
      </c>
      <c r="B111" s="23">
        <v>13</v>
      </c>
      <c r="C111" s="23">
        <v>32.700000000000003</v>
      </c>
      <c r="D111" s="23">
        <v>11</v>
      </c>
      <c r="E111" s="23">
        <v>36.4</v>
      </c>
      <c r="F111" s="23">
        <v>10</v>
      </c>
      <c r="G111" s="23">
        <v>55</v>
      </c>
      <c r="H111" s="62"/>
      <c r="Z111" s="62">
        <v>2.625</v>
      </c>
      <c r="AA111" s="133">
        <f t="shared" si="1"/>
        <v>35</v>
      </c>
      <c r="AB111" s="133">
        <v>25</v>
      </c>
    </row>
    <row r="112" spans="1:40" x14ac:dyDescent="0.3">
      <c r="A112" s="62">
        <v>2.1</v>
      </c>
      <c r="B112" s="23">
        <v>14</v>
      </c>
      <c r="C112" s="23">
        <v>25</v>
      </c>
      <c r="D112" s="23">
        <v>12</v>
      </c>
      <c r="E112" s="23">
        <v>25</v>
      </c>
      <c r="F112" s="23">
        <v>10</v>
      </c>
      <c r="G112" s="23">
        <v>60</v>
      </c>
      <c r="H112" s="62"/>
      <c r="Z112" s="62">
        <v>2.6999999999999997</v>
      </c>
      <c r="AA112" s="133">
        <f t="shared" si="1"/>
        <v>36</v>
      </c>
      <c r="AB112" s="133">
        <v>25</v>
      </c>
    </row>
    <row r="113" spans="1:28" x14ac:dyDescent="0.3">
      <c r="A113" s="62">
        <v>2.15</v>
      </c>
      <c r="B113" s="23">
        <v>14</v>
      </c>
      <c r="C113" s="23">
        <v>28.6</v>
      </c>
      <c r="D113" s="23">
        <v>12</v>
      </c>
      <c r="E113" s="23">
        <v>29.2</v>
      </c>
      <c r="F113" s="23">
        <v>10</v>
      </c>
      <c r="G113" s="23">
        <v>65</v>
      </c>
      <c r="H113" s="62"/>
      <c r="Z113" s="62">
        <v>2.7749999999999999</v>
      </c>
      <c r="AA113" s="133">
        <f t="shared" si="1"/>
        <v>37</v>
      </c>
      <c r="AB113" s="133">
        <v>25</v>
      </c>
    </row>
    <row r="114" spans="1:28" x14ac:dyDescent="0.3">
      <c r="A114" s="62">
        <v>2.2000000000000002</v>
      </c>
      <c r="B114" s="23">
        <v>14</v>
      </c>
      <c r="C114" s="23">
        <v>32.1</v>
      </c>
      <c r="D114" s="23">
        <v>12</v>
      </c>
      <c r="E114" s="23">
        <v>33.299999999999997</v>
      </c>
      <c r="F114" s="23">
        <v>11</v>
      </c>
      <c r="G114" s="23">
        <v>50</v>
      </c>
      <c r="H114" s="62"/>
      <c r="Z114" s="62">
        <v>2.85</v>
      </c>
      <c r="AA114" s="133">
        <f t="shared" si="1"/>
        <v>38</v>
      </c>
      <c r="AB114" s="133">
        <v>25</v>
      </c>
    </row>
    <row r="115" spans="1:28" x14ac:dyDescent="0.3">
      <c r="A115" s="62">
        <v>2.25</v>
      </c>
      <c r="B115" s="23">
        <v>15</v>
      </c>
      <c r="C115" s="23">
        <v>25</v>
      </c>
      <c r="D115" s="23">
        <v>12</v>
      </c>
      <c r="E115" s="23">
        <v>37.5</v>
      </c>
      <c r="F115" s="23">
        <v>11</v>
      </c>
      <c r="G115" s="23">
        <v>54.5</v>
      </c>
      <c r="H115" s="62"/>
      <c r="Z115" s="62">
        <v>2.9249999999999998</v>
      </c>
      <c r="AA115" s="133">
        <f t="shared" si="1"/>
        <v>39</v>
      </c>
      <c r="AB115" s="133">
        <v>25</v>
      </c>
    </row>
    <row r="116" spans="1:28" x14ac:dyDescent="0.3">
      <c r="A116" s="62">
        <v>2.2999999999999998</v>
      </c>
      <c r="B116" s="23">
        <v>15</v>
      </c>
      <c r="C116" s="23">
        <v>28.3</v>
      </c>
      <c r="D116" s="23">
        <v>13</v>
      </c>
      <c r="E116" s="23">
        <v>26.9</v>
      </c>
      <c r="F116" s="23">
        <v>11</v>
      </c>
      <c r="G116" s="23">
        <v>59.1</v>
      </c>
      <c r="H116" s="62"/>
      <c r="Z116" s="62">
        <v>3</v>
      </c>
      <c r="AA116" s="133">
        <f t="shared" si="1"/>
        <v>40</v>
      </c>
      <c r="AB116" s="133">
        <v>25</v>
      </c>
    </row>
    <row r="117" spans="1:28" x14ac:dyDescent="0.3">
      <c r="A117" s="62">
        <v>2.35</v>
      </c>
      <c r="B117" s="23">
        <v>15</v>
      </c>
      <c r="C117" s="23">
        <v>31.7</v>
      </c>
      <c r="D117" s="23">
        <v>13</v>
      </c>
      <c r="E117" s="23">
        <v>30.8</v>
      </c>
      <c r="F117" s="23">
        <v>11</v>
      </c>
      <c r="G117" s="23">
        <v>63.6</v>
      </c>
      <c r="H117" s="62"/>
    </row>
    <row r="118" spans="1:28" x14ac:dyDescent="0.3">
      <c r="A118" s="62">
        <v>2.4</v>
      </c>
      <c r="B118" s="23">
        <v>16</v>
      </c>
      <c r="C118" s="23">
        <v>25</v>
      </c>
      <c r="D118" s="23">
        <v>13</v>
      </c>
      <c r="E118" s="23">
        <v>34.6</v>
      </c>
      <c r="F118" s="23">
        <v>12</v>
      </c>
      <c r="G118" s="23">
        <v>50</v>
      </c>
      <c r="H118" s="62"/>
    </row>
    <row r="119" spans="1:28" x14ac:dyDescent="0.3">
      <c r="A119" s="62">
        <v>2.4500000000000002</v>
      </c>
      <c r="B119" s="23">
        <v>16</v>
      </c>
      <c r="C119" s="23">
        <v>28.1</v>
      </c>
      <c r="D119" s="23">
        <v>14</v>
      </c>
      <c r="E119" s="23">
        <v>25</v>
      </c>
      <c r="F119" s="23">
        <v>12</v>
      </c>
      <c r="G119" s="23">
        <v>54.2</v>
      </c>
      <c r="H119" s="62"/>
    </row>
    <row r="120" spans="1:28" x14ac:dyDescent="0.3">
      <c r="A120" s="62">
        <v>2.5</v>
      </c>
      <c r="B120" s="23">
        <v>16</v>
      </c>
      <c r="C120" s="23">
        <v>31.3</v>
      </c>
      <c r="D120" s="23">
        <v>14</v>
      </c>
      <c r="E120" s="23">
        <v>28.6</v>
      </c>
      <c r="F120" s="23">
        <v>12</v>
      </c>
      <c r="G120" s="23">
        <v>58.3</v>
      </c>
      <c r="H120" s="62"/>
    </row>
    <row r="121" spans="1:28" x14ac:dyDescent="0.3">
      <c r="A121" s="62">
        <v>2.5499999999999998</v>
      </c>
      <c r="B121" s="23">
        <v>17</v>
      </c>
      <c r="C121" s="23">
        <v>25</v>
      </c>
      <c r="D121" s="23">
        <v>14</v>
      </c>
      <c r="E121" s="23">
        <v>32.1</v>
      </c>
      <c r="F121" s="23">
        <v>12</v>
      </c>
      <c r="G121" s="23">
        <v>62.5</v>
      </c>
      <c r="H121" s="62"/>
    </row>
    <row r="122" spans="1:28" x14ac:dyDescent="0.3">
      <c r="A122" s="62">
        <v>2.6</v>
      </c>
      <c r="B122" s="23">
        <v>17</v>
      </c>
      <c r="C122" s="23">
        <v>27.9</v>
      </c>
      <c r="D122" s="23">
        <v>14</v>
      </c>
      <c r="E122" s="23">
        <v>35.700000000000003</v>
      </c>
      <c r="F122" s="23">
        <v>13</v>
      </c>
      <c r="G122" s="23">
        <v>50</v>
      </c>
      <c r="H122" s="62"/>
    </row>
    <row r="123" spans="1:28" x14ac:dyDescent="0.3">
      <c r="A123" s="62">
        <v>2.65</v>
      </c>
      <c r="B123" s="23">
        <v>17</v>
      </c>
      <c r="C123" s="23">
        <v>30.9</v>
      </c>
      <c r="D123" s="23">
        <v>15</v>
      </c>
      <c r="E123" s="23">
        <v>26.7</v>
      </c>
      <c r="F123" s="23">
        <v>13</v>
      </c>
      <c r="G123" s="23">
        <v>53.8</v>
      </c>
      <c r="H123" s="62"/>
    </row>
    <row r="124" spans="1:28" x14ac:dyDescent="0.3">
      <c r="A124" s="62">
        <v>2.7</v>
      </c>
      <c r="B124" s="23">
        <v>18</v>
      </c>
      <c r="C124" s="23">
        <v>25</v>
      </c>
      <c r="D124" s="23">
        <v>15</v>
      </c>
      <c r="E124" s="23">
        <v>30</v>
      </c>
      <c r="F124" s="23">
        <v>13</v>
      </c>
      <c r="G124" s="23">
        <v>57.7</v>
      </c>
      <c r="H124" s="62"/>
    </row>
    <row r="125" spans="1:28" x14ac:dyDescent="0.3">
      <c r="A125" s="62">
        <v>2.75</v>
      </c>
      <c r="B125" s="23">
        <v>18</v>
      </c>
      <c r="C125" s="23">
        <v>27.8</v>
      </c>
      <c r="D125" s="23">
        <v>15</v>
      </c>
      <c r="E125" s="23">
        <v>33.299999999999997</v>
      </c>
      <c r="F125" s="23">
        <v>13</v>
      </c>
      <c r="G125" s="23">
        <v>61.5</v>
      </c>
      <c r="H125" s="62"/>
    </row>
    <row r="126" spans="1:28" x14ac:dyDescent="0.3">
      <c r="A126" s="62">
        <v>2.8</v>
      </c>
      <c r="B126" s="23">
        <v>18</v>
      </c>
      <c r="C126" s="23">
        <v>30.6</v>
      </c>
      <c r="D126" s="23">
        <v>16</v>
      </c>
      <c r="E126" s="23">
        <v>25</v>
      </c>
      <c r="F126" s="23">
        <v>14</v>
      </c>
      <c r="G126" s="23">
        <v>50</v>
      </c>
      <c r="H126" s="62"/>
    </row>
    <row r="127" spans="1:28" x14ac:dyDescent="0.3">
      <c r="A127" s="62">
        <v>2.85</v>
      </c>
      <c r="B127" s="23">
        <v>19</v>
      </c>
      <c r="C127" s="23">
        <v>25</v>
      </c>
      <c r="D127" s="23">
        <v>16</v>
      </c>
      <c r="E127" s="23">
        <v>28.1</v>
      </c>
      <c r="F127" s="23">
        <v>14</v>
      </c>
      <c r="G127" s="23">
        <v>53.6</v>
      </c>
      <c r="H127" s="62"/>
    </row>
    <row r="128" spans="1:28" x14ac:dyDescent="0.3">
      <c r="A128" s="62">
        <v>2.9</v>
      </c>
      <c r="B128" s="23">
        <v>19</v>
      </c>
      <c r="C128" s="23">
        <v>27.6</v>
      </c>
      <c r="D128" s="23">
        <v>16</v>
      </c>
      <c r="E128" s="23">
        <v>31.3</v>
      </c>
      <c r="F128" s="23">
        <v>14</v>
      </c>
      <c r="G128" s="23">
        <v>57.1</v>
      </c>
      <c r="H128" s="62"/>
    </row>
    <row r="129" spans="1:43" x14ac:dyDescent="0.3">
      <c r="A129" s="62">
        <v>2.95</v>
      </c>
      <c r="B129" s="23">
        <v>19</v>
      </c>
      <c r="C129" s="23">
        <v>30.3</v>
      </c>
      <c r="D129" s="23">
        <v>16</v>
      </c>
      <c r="E129" s="23">
        <v>34.4</v>
      </c>
      <c r="F129" s="23">
        <v>14</v>
      </c>
      <c r="G129" s="23">
        <v>60.7</v>
      </c>
      <c r="H129" s="62"/>
    </row>
    <row r="130" spans="1:43" x14ac:dyDescent="0.3">
      <c r="A130" s="62">
        <v>3</v>
      </c>
      <c r="B130" s="23">
        <v>20</v>
      </c>
      <c r="C130" s="23">
        <v>25</v>
      </c>
      <c r="D130" s="23">
        <v>17</v>
      </c>
      <c r="E130" s="23">
        <v>26.5</v>
      </c>
      <c r="F130" s="23">
        <v>15</v>
      </c>
      <c r="G130" s="23">
        <v>50</v>
      </c>
      <c r="H130" s="62"/>
    </row>
    <row r="132" spans="1:43" x14ac:dyDescent="0.3">
      <c r="A132" s="48">
        <v>1</v>
      </c>
      <c r="B132" s="49">
        <v>2</v>
      </c>
      <c r="C132" s="49">
        <v>3</v>
      </c>
      <c r="D132" s="49">
        <v>4</v>
      </c>
      <c r="E132" s="49">
        <v>5</v>
      </c>
      <c r="F132" s="49">
        <v>6</v>
      </c>
      <c r="G132" s="49">
        <v>7</v>
      </c>
      <c r="H132" s="49">
        <v>8</v>
      </c>
      <c r="I132" s="49">
        <v>9</v>
      </c>
      <c r="J132" s="49">
        <v>10</v>
      </c>
      <c r="K132" s="49">
        <v>11</v>
      </c>
      <c r="L132" s="49">
        <v>12</v>
      </c>
      <c r="M132" s="49">
        <v>13</v>
      </c>
      <c r="N132" s="49">
        <v>14</v>
      </c>
      <c r="O132" s="49">
        <v>15</v>
      </c>
      <c r="P132" s="49">
        <v>16</v>
      </c>
      <c r="Q132" s="49">
        <v>17</v>
      </c>
      <c r="R132" s="49">
        <v>18</v>
      </c>
      <c r="S132" s="49">
        <v>19</v>
      </c>
      <c r="T132" s="49">
        <v>20</v>
      </c>
      <c r="U132" s="49">
        <v>21</v>
      </c>
      <c r="V132" s="49">
        <v>22</v>
      </c>
      <c r="W132" s="49">
        <v>23</v>
      </c>
    </row>
    <row r="133" spans="1:43" ht="52.8" x14ac:dyDescent="0.3">
      <c r="A133" s="257" t="s">
        <v>84</v>
      </c>
      <c r="B133" s="256" t="s">
        <v>107</v>
      </c>
      <c r="C133" s="256"/>
      <c r="D133" s="256" t="s">
        <v>240</v>
      </c>
      <c r="E133" s="256"/>
      <c r="F133" s="256" t="s">
        <v>108</v>
      </c>
      <c r="G133" s="256"/>
      <c r="H133" s="256" t="s">
        <v>241</v>
      </c>
      <c r="I133" s="256"/>
      <c r="J133" s="103" t="s">
        <v>242</v>
      </c>
      <c r="K133" s="103" t="s">
        <v>243</v>
      </c>
      <c r="L133" s="103" t="s">
        <v>62</v>
      </c>
      <c r="M133" s="103" t="s">
        <v>63</v>
      </c>
      <c r="N133" s="103" t="s">
        <v>109</v>
      </c>
      <c r="O133" s="103" t="s">
        <v>110</v>
      </c>
      <c r="P133" s="103" t="s">
        <v>92</v>
      </c>
      <c r="Q133" s="103" t="s">
        <v>85</v>
      </c>
      <c r="R133" s="103" t="s">
        <v>86</v>
      </c>
      <c r="S133" s="103" t="s">
        <v>87</v>
      </c>
      <c r="T133" s="103" t="s">
        <v>88</v>
      </c>
      <c r="U133" s="103" t="s">
        <v>89</v>
      </c>
      <c r="V133" s="103" t="s">
        <v>90</v>
      </c>
      <c r="W133" s="103" t="s">
        <v>309</v>
      </c>
    </row>
    <row r="134" spans="1:43" x14ac:dyDescent="0.3">
      <c r="A134" s="257"/>
      <c r="B134" s="115" t="s">
        <v>141</v>
      </c>
      <c r="C134" s="115" t="s">
        <v>80</v>
      </c>
      <c r="D134" s="115" t="s">
        <v>141</v>
      </c>
      <c r="E134" s="115" t="s">
        <v>80</v>
      </c>
      <c r="F134" s="115" t="s">
        <v>141</v>
      </c>
      <c r="G134" s="115" t="s">
        <v>80</v>
      </c>
      <c r="H134" s="115" t="s">
        <v>141</v>
      </c>
      <c r="I134" s="115" t="s">
        <v>80</v>
      </c>
      <c r="J134" s="115" t="s">
        <v>141</v>
      </c>
      <c r="K134" s="115" t="s">
        <v>141</v>
      </c>
      <c r="L134" s="115" t="s">
        <v>141</v>
      </c>
      <c r="M134" s="115" t="s">
        <v>141</v>
      </c>
      <c r="N134" s="115" t="s">
        <v>80</v>
      </c>
      <c r="O134" s="115" t="s">
        <v>80</v>
      </c>
      <c r="P134" s="115" t="s">
        <v>80</v>
      </c>
      <c r="Q134" s="115" t="s">
        <v>80</v>
      </c>
      <c r="R134" s="115" t="s">
        <v>80</v>
      </c>
      <c r="S134" s="115" t="s">
        <v>80</v>
      </c>
      <c r="T134" s="115" t="s">
        <v>80</v>
      </c>
      <c r="U134" s="115" t="s">
        <v>80</v>
      </c>
      <c r="V134" s="115" t="s">
        <v>80</v>
      </c>
      <c r="W134" s="115"/>
    </row>
    <row r="135" spans="1:43" x14ac:dyDescent="0.3">
      <c r="A135" s="105" t="s">
        <v>44</v>
      </c>
      <c r="B135" s="117" t="s">
        <v>10</v>
      </c>
      <c r="C135" s="116">
        <v>0</v>
      </c>
      <c r="D135" s="117" t="s">
        <v>10</v>
      </c>
      <c r="E135" s="116">
        <v>0</v>
      </c>
      <c r="F135" s="117" t="s">
        <v>10</v>
      </c>
      <c r="G135" s="116">
        <v>0</v>
      </c>
      <c r="H135" s="117" t="s">
        <v>10</v>
      </c>
      <c r="I135" s="116">
        <v>0</v>
      </c>
      <c r="J135" s="117" t="s">
        <v>10</v>
      </c>
      <c r="K135" s="117" t="s">
        <v>10</v>
      </c>
      <c r="L135" s="117" t="s">
        <v>10</v>
      </c>
      <c r="M135" s="117" t="s">
        <v>10</v>
      </c>
      <c r="N135" s="118">
        <v>0</v>
      </c>
      <c r="O135" s="116">
        <v>0</v>
      </c>
      <c r="P135" s="118">
        <v>0</v>
      </c>
      <c r="Q135" s="118">
        <v>0</v>
      </c>
      <c r="R135" s="118">
        <v>0</v>
      </c>
      <c r="S135" s="118">
        <v>0</v>
      </c>
      <c r="T135" s="118">
        <v>0</v>
      </c>
      <c r="U135" s="118">
        <v>0</v>
      </c>
      <c r="V135" s="118">
        <v>0</v>
      </c>
      <c r="W135" s="118">
        <v>0</v>
      </c>
    </row>
    <row r="136" spans="1:43" x14ac:dyDescent="0.3">
      <c r="A136" s="105" t="s">
        <v>77</v>
      </c>
      <c r="B136" s="104">
        <v>0.84</v>
      </c>
      <c r="C136" s="105">
        <v>8</v>
      </c>
      <c r="D136" s="104">
        <v>0.84</v>
      </c>
      <c r="E136" s="105">
        <v>2</v>
      </c>
      <c r="F136" s="104">
        <v>0.84</v>
      </c>
      <c r="G136" s="105">
        <v>5</v>
      </c>
      <c r="H136" s="104">
        <v>0.84</v>
      </c>
      <c r="I136" s="105">
        <v>2</v>
      </c>
      <c r="J136" s="105">
        <v>1.34</v>
      </c>
      <c r="K136" s="105">
        <v>1.3</v>
      </c>
      <c r="L136" s="105">
        <v>0.86</v>
      </c>
      <c r="M136" s="105">
        <v>0.86</v>
      </c>
      <c r="N136" s="105">
        <v>48</v>
      </c>
      <c r="O136" s="105">
        <v>30</v>
      </c>
      <c r="P136" s="105">
        <v>9</v>
      </c>
      <c r="Q136" s="105">
        <v>1</v>
      </c>
      <c r="R136" s="105">
        <v>0</v>
      </c>
      <c r="S136" s="105">
        <v>0</v>
      </c>
      <c r="T136" s="105">
        <v>1</v>
      </c>
      <c r="U136" s="105">
        <v>0</v>
      </c>
      <c r="V136" s="105">
        <v>0</v>
      </c>
      <c r="W136" s="105">
        <v>1.5</v>
      </c>
    </row>
    <row r="137" spans="1:43" x14ac:dyDescent="0.3">
      <c r="A137" s="105" t="s">
        <v>78</v>
      </c>
      <c r="B137" s="104">
        <v>0.84</v>
      </c>
      <c r="C137" s="105">
        <v>10</v>
      </c>
      <c r="D137" s="104">
        <v>0.84</v>
      </c>
      <c r="E137" s="105">
        <v>2</v>
      </c>
      <c r="F137" s="104">
        <v>0.84</v>
      </c>
      <c r="G137" s="105">
        <v>7</v>
      </c>
      <c r="H137" s="104">
        <v>0.84</v>
      </c>
      <c r="I137" s="105">
        <v>2</v>
      </c>
      <c r="J137" s="105">
        <v>1.64</v>
      </c>
      <c r="K137" s="105">
        <v>1.61</v>
      </c>
      <c r="L137" s="105">
        <v>0.86</v>
      </c>
      <c r="M137" s="105">
        <v>0.86</v>
      </c>
      <c r="N137" s="105">
        <v>60</v>
      </c>
      <c r="O137" s="105">
        <v>42</v>
      </c>
      <c r="P137" s="105">
        <v>9</v>
      </c>
      <c r="Q137" s="105">
        <v>0</v>
      </c>
      <c r="R137" s="105">
        <v>1</v>
      </c>
      <c r="S137" s="105">
        <v>0</v>
      </c>
      <c r="T137" s="105">
        <v>0</v>
      </c>
      <c r="U137" s="105">
        <v>1</v>
      </c>
      <c r="V137" s="105">
        <v>0</v>
      </c>
      <c r="W137" s="105">
        <v>1.8</v>
      </c>
    </row>
    <row r="138" spans="1:43" x14ac:dyDescent="0.3">
      <c r="A138" s="105" t="s">
        <v>17</v>
      </c>
      <c r="B138" s="104">
        <v>0.84</v>
      </c>
      <c r="C138" s="105">
        <v>11</v>
      </c>
      <c r="D138" s="104">
        <v>0.84</v>
      </c>
      <c r="E138" s="105">
        <v>2</v>
      </c>
      <c r="F138" s="104">
        <v>0.84</v>
      </c>
      <c r="G138" s="105">
        <v>8</v>
      </c>
      <c r="H138" s="104">
        <v>0.84</v>
      </c>
      <c r="I138" s="105">
        <v>2</v>
      </c>
      <c r="J138" s="105">
        <v>1.79</v>
      </c>
      <c r="K138" s="105">
        <v>1.81</v>
      </c>
      <c r="L138" s="105">
        <v>0.86</v>
      </c>
      <c r="M138" s="105">
        <v>0.86</v>
      </c>
      <c r="N138" s="105">
        <v>66</v>
      </c>
      <c r="O138" s="105">
        <v>48</v>
      </c>
      <c r="P138" s="105">
        <v>9</v>
      </c>
      <c r="Q138" s="105">
        <v>0</v>
      </c>
      <c r="R138" s="105">
        <v>0</v>
      </c>
      <c r="S138" s="105">
        <v>1</v>
      </c>
      <c r="T138" s="105">
        <v>0</v>
      </c>
      <c r="U138" s="105">
        <v>0</v>
      </c>
      <c r="V138" s="105">
        <v>1</v>
      </c>
      <c r="W138" s="105">
        <v>2</v>
      </c>
    </row>
    <row r="139" spans="1:43" x14ac:dyDescent="0.3">
      <c r="B139" s="142">
        <v>0.01</v>
      </c>
    </row>
    <row r="140" spans="1:43" x14ac:dyDescent="0.3">
      <c r="A140" s="48">
        <v>1</v>
      </c>
      <c r="B140" s="48">
        <v>2</v>
      </c>
      <c r="C140" s="48">
        <v>3</v>
      </c>
      <c r="D140" s="48">
        <v>4</v>
      </c>
      <c r="E140" s="48">
        <v>5</v>
      </c>
      <c r="F140" s="48">
        <v>6</v>
      </c>
      <c r="G140" s="48">
        <v>7</v>
      </c>
      <c r="H140" s="48">
        <v>8</v>
      </c>
      <c r="I140" s="48">
        <v>9</v>
      </c>
      <c r="J140" s="48">
        <v>10</v>
      </c>
      <c r="K140" s="48">
        <v>11</v>
      </c>
      <c r="L140" s="48">
        <v>12</v>
      </c>
      <c r="M140" s="48">
        <v>13</v>
      </c>
      <c r="N140" s="48">
        <v>14</v>
      </c>
      <c r="O140" s="48">
        <v>15</v>
      </c>
      <c r="P140" s="48">
        <v>16</v>
      </c>
      <c r="Q140" s="48">
        <v>17</v>
      </c>
      <c r="R140" s="48">
        <v>18</v>
      </c>
      <c r="S140" s="48">
        <v>19</v>
      </c>
      <c r="T140" s="48">
        <v>20</v>
      </c>
      <c r="U140" s="48">
        <v>21</v>
      </c>
      <c r="V140" s="48">
        <v>22</v>
      </c>
      <c r="W140" s="48">
        <v>23</v>
      </c>
      <c r="X140" s="48">
        <v>24</v>
      </c>
      <c r="Y140" s="48">
        <v>25</v>
      </c>
      <c r="Z140" s="48">
        <v>26</v>
      </c>
      <c r="AA140" s="48">
        <v>27</v>
      </c>
      <c r="AB140" s="48">
        <v>28</v>
      </c>
      <c r="AC140" s="48">
        <v>29</v>
      </c>
      <c r="AD140" s="48">
        <v>30</v>
      </c>
      <c r="AE140" s="48">
        <v>31</v>
      </c>
      <c r="AF140" s="48">
        <v>32</v>
      </c>
      <c r="AG140" s="48">
        <v>33</v>
      </c>
      <c r="AH140" s="48">
        <v>34</v>
      </c>
      <c r="AI140" s="48">
        <v>35</v>
      </c>
      <c r="AJ140" s="48">
        <v>36</v>
      </c>
      <c r="AK140" s="48">
        <v>37</v>
      </c>
      <c r="AL140" s="48">
        <v>38</v>
      </c>
      <c r="AM140" s="48">
        <v>39</v>
      </c>
      <c r="AN140" s="48">
        <v>40</v>
      </c>
      <c r="AO140" s="48">
        <v>41</v>
      </c>
      <c r="AP140" s="48">
        <v>42</v>
      </c>
      <c r="AQ140" s="48">
        <v>43</v>
      </c>
    </row>
    <row r="141" spans="1:43" ht="52.5" customHeight="1" x14ac:dyDescent="0.3">
      <c r="A141" s="257" t="s">
        <v>83</v>
      </c>
      <c r="B141" s="256" t="s">
        <v>248</v>
      </c>
      <c r="C141" s="256"/>
      <c r="D141" s="256" t="s">
        <v>249</v>
      </c>
      <c r="E141" s="256"/>
      <c r="F141" s="256" t="s">
        <v>253</v>
      </c>
      <c r="G141" s="256"/>
      <c r="H141" s="256" t="s">
        <v>254</v>
      </c>
      <c r="I141" s="256"/>
      <c r="J141" s="254" t="s">
        <v>242</v>
      </c>
      <c r="K141" s="255"/>
      <c r="L141" s="254" t="s">
        <v>243</v>
      </c>
      <c r="M141" s="255"/>
      <c r="N141" s="254" t="s">
        <v>245</v>
      </c>
      <c r="O141" s="255"/>
      <c r="P141" s="254" t="s">
        <v>246</v>
      </c>
      <c r="Q141" s="255"/>
      <c r="R141" s="103" t="s">
        <v>109</v>
      </c>
      <c r="S141" s="103" t="s">
        <v>110</v>
      </c>
      <c r="T141" s="103" t="s">
        <v>92</v>
      </c>
      <c r="U141" s="103" t="s">
        <v>85</v>
      </c>
      <c r="V141" s="103" t="s">
        <v>86</v>
      </c>
      <c r="W141" s="103" t="s">
        <v>87</v>
      </c>
      <c r="X141" s="103" t="s">
        <v>88</v>
      </c>
      <c r="Y141" s="103" t="s">
        <v>89</v>
      </c>
      <c r="Z141" s="103" t="s">
        <v>90</v>
      </c>
      <c r="AA141" s="254" t="s">
        <v>247</v>
      </c>
      <c r="AB141" s="255"/>
      <c r="AC141" s="254" t="s">
        <v>250</v>
      </c>
      <c r="AD141" s="255"/>
      <c r="AE141" s="252" t="s">
        <v>251</v>
      </c>
      <c r="AF141" s="253"/>
      <c r="AG141" s="252" t="s">
        <v>252</v>
      </c>
      <c r="AH141" s="253"/>
      <c r="AI141" s="252" t="s">
        <v>255</v>
      </c>
      <c r="AJ141" s="253"/>
      <c r="AK141" s="252" t="s">
        <v>256</v>
      </c>
      <c r="AL141" s="253"/>
      <c r="AM141" s="250" t="s">
        <v>185</v>
      </c>
      <c r="AN141" s="251"/>
      <c r="AO141" s="251"/>
      <c r="AP141" s="129" t="s">
        <v>5</v>
      </c>
      <c r="AQ141" s="129" t="s">
        <v>309</v>
      </c>
    </row>
    <row r="142" spans="1:43" x14ac:dyDescent="0.3">
      <c r="A142" s="257"/>
      <c r="B142" s="115" t="s">
        <v>141</v>
      </c>
      <c r="C142" s="115" t="s">
        <v>80</v>
      </c>
      <c r="D142" s="115" t="s">
        <v>141</v>
      </c>
      <c r="E142" s="115" t="s">
        <v>80</v>
      </c>
      <c r="F142" s="115" t="s">
        <v>141</v>
      </c>
      <c r="G142" s="115" t="s">
        <v>80</v>
      </c>
      <c r="H142" s="115" t="s">
        <v>141</v>
      </c>
      <c r="I142" s="115" t="s">
        <v>80</v>
      </c>
      <c r="J142" s="115" t="s">
        <v>141</v>
      </c>
      <c r="K142" s="115" t="s">
        <v>80</v>
      </c>
      <c r="L142" s="115" t="s">
        <v>141</v>
      </c>
      <c r="M142" s="115" t="s">
        <v>80</v>
      </c>
      <c r="N142" s="115" t="s">
        <v>141</v>
      </c>
      <c r="O142" s="115" t="s">
        <v>80</v>
      </c>
      <c r="P142" s="115" t="s">
        <v>141</v>
      </c>
      <c r="Q142" s="115" t="s">
        <v>80</v>
      </c>
      <c r="R142" s="115" t="s">
        <v>80</v>
      </c>
      <c r="S142" s="115" t="s">
        <v>80</v>
      </c>
      <c r="T142" s="115" t="s">
        <v>80</v>
      </c>
      <c r="U142" s="115" t="s">
        <v>80</v>
      </c>
      <c r="V142" s="115" t="s">
        <v>80</v>
      </c>
      <c r="W142" s="115" t="s">
        <v>80</v>
      </c>
      <c r="X142" s="115" t="s">
        <v>80</v>
      </c>
      <c r="Y142" s="115" t="s">
        <v>80</v>
      </c>
      <c r="Z142" s="115" t="s">
        <v>80</v>
      </c>
      <c r="AA142" s="115" t="s">
        <v>141</v>
      </c>
      <c r="AB142" s="115" t="s">
        <v>80</v>
      </c>
      <c r="AC142" s="115" t="s">
        <v>141</v>
      </c>
      <c r="AD142" s="115" t="s">
        <v>80</v>
      </c>
      <c r="AE142" s="115" t="s">
        <v>141</v>
      </c>
      <c r="AF142" s="115" t="s">
        <v>80</v>
      </c>
      <c r="AG142" s="115" t="s">
        <v>141</v>
      </c>
      <c r="AH142" s="115" t="s">
        <v>80</v>
      </c>
      <c r="AI142" s="115" t="s">
        <v>141</v>
      </c>
      <c r="AJ142" s="115" t="s">
        <v>80</v>
      </c>
      <c r="AK142" s="115" t="s">
        <v>141</v>
      </c>
      <c r="AL142" s="115" t="s">
        <v>80</v>
      </c>
      <c r="AM142" s="115" t="s">
        <v>141</v>
      </c>
      <c r="AN142" s="115" t="s">
        <v>80</v>
      </c>
      <c r="AO142" s="124" t="s">
        <v>141</v>
      </c>
      <c r="AP142" s="115" t="s">
        <v>80</v>
      </c>
      <c r="AQ142" s="115"/>
    </row>
    <row r="143" spans="1:43" x14ac:dyDescent="0.3">
      <c r="A143" s="116" t="s">
        <v>44</v>
      </c>
      <c r="B143" s="117" t="s">
        <v>10</v>
      </c>
      <c r="C143" s="116">
        <v>0</v>
      </c>
      <c r="D143" s="117" t="s">
        <v>10</v>
      </c>
      <c r="E143" s="116">
        <v>0</v>
      </c>
      <c r="F143" s="117" t="s">
        <v>10</v>
      </c>
      <c r="G143" s="116">
        <v>0</v>
      </c>
      <c r="H143" s="117" t="s">
        <v>10</v>
      </c>
      <c r="I143" s="116">
        <v>0</v>
      </c>
      <c r="J143" s="117" t="s">
        <v>10</v>
      </c>
      <c r="K143" s="104">
        <v>0</v>
      </c>
      <c r="L143" s="117" t="s">
        <v>10</v>
      </c>
      <c r="M143" s="104">
        <v>0</v>
      </c>
      <c r="N143" s="117" t="s">
        <v>10</v>
      </c>
      <c r="O143" s="104"/>
      <c r="P143" s="117" t="s">
        <v>10</v>
      </c>
      <c r="Q143" s="104"/>
      <c r="R143" s="118">
        <v>0</v>
      </c>
      <c r="S143" s="116">
        <v>0</v>
      </c>
      <c r="T143" s="118">
        <v>0</v>
      </c>
      <c r="U143" s="118">
        <v>0</v>
      </c>
      <c r="V143" s="118">
        <v>0</v>
      </c>
      <c r="W143" s="118">
        <v>0</v>
      </c>
      <c r="X143" s="118">
        <v>0</v>
      </c>
      <c r="Y143" s="118">
        <v>0</v>
      </c>
      <c r="Z143" s="118">
        <v>0</v>
      </c>
      <c r="AA143" s="109" t="s">
        <v>10</v>
      </c>
      <c r="AB143" s="109">
        <v>0</v>
      </c>
      <c r="AC143" s="109" t="s">
        <v>10</v>
      </c>
      <c r="AD143" s="109">
        <v>0</v>
      </c>
      <c r="AE143" s="109" t="s">
        <v>10</v>
      </c>
      <c r="AF143" s="109">
        <v>0</v>
      </c>
      <c r="AG143" s="109" t="s">
        <v>10</v>
      </c>
      <c r="AH143" s="109">
        <v>0</v>
      </c>
      <c r="AI143" s="109" t="s">
        <v>10</v>
      </c>
      <c r="AJ143" s="109">
        <v>0</v>
      </c>
      <c r="AK143" s="109" t="s">
        <v>10</v>
      </c>
      <c r="AL143" s="109">
        <v>0</v>
      </c>
      <c r="AM143" s="117" t="s">
        <v>10</v>
      </c>
      <c r="AN143" s="104">
        <v>0</v>
      </c>
      <c r="AO143" s="104" t="s">
        <v>10</v>
      </c>
      <c r="AP143" s="104">
        <v>0</v>
      </c>
      <c r="AQ143" s="104">
        <v>0</v>
      </c>
    </row>
    <row r="144" spans="1:43" x14ac:dyDescent="0.3">
      <c r="A144" s="105" t="s">
        <v>93</v>
      </c>
      <c r="B144" s="105">
        <v>1.65</v>
      </c>
      <c r="C144" s="105">
        <v>16</v>
      </c>
      <c r="D144" s="105">
        <v>1.65</v>
      </c>
      <c r="E144" s="105">
        <v>4</v>
      </c>
      <c r="F144" s="105">
        <v>1.65</v>
      </c>
      <c r="G144" s="105">
        <v>10</v>
      </c>
      <c r="H144" s="105">
        <v>1.65</v>
      </c>
      <c r="I144" s="105">
        <v>4</v>
      </c>
      <c r="J144" s="105">
        <v>1.8</v>
      </c>
      <c r="K144" s="105">
        <v>4</v>
      </c>
      <c r="L144" s="105">
        <v>1.3</v>
      </c>
      <c r="M144" s="105">
        <v>4</v>
      </c>
      <c r="N144" s="105">
        <v>1.67</v>
      </c>
      <c r="O144" s="104">
        <v>2</v>
      </c>
      <c r="P144" s="105">
        <v>1.67</v>
      </c>
      <c r="Q144" s="104">
        <v>2</v>
      </c>
      <c r="R144" s="105">
        <v>96</v>
      </c>
      <c r="S144" s="105">
        <v>60</v>
      </c>
      <c r="T144" s="105">
        <v>9</v>
      </c>
      <c r="U144" s="105">
        <v>2</v>
      </c>
      <c r="V144" s="105">
        <v>0</v>
      </c>
      <c r="W144" s="105">
        <v>0</v>
      </c>
      <c r="X144" s="105">
        <v>2</v>
      </c>
      <c r="Y144" s="105">
        <v>0</v>
      </c>
      <c r="Z144" s="105">
        <v>0</v>
      </c>
      <c r="AA144" s="109" t="s">
        <v>10</v>
      </c>
      <c r="AB144" s="109">
        <v>0</v>
      </c>
      <c r="AC144" s="109">
        <v>0</v>
      </c>
      <c r="AD144" s="109">
        <v>0</v>
      </c>
      <c r="AE144" s="109" t="s">
        <v>10</v>
      </c>
      <c r="AF144" s="109">
        <v>0</v>
      </c>
      <c r="AG144" s="109" t="s">
        <v>10</v>
      </c>
      <c r="AH144" s="109">
        <v>0</v>
      </c>
      <c r="AI144" s="109" t="s">
        <v>10</v>
      </c>
      <c r="AJ144" s="109">
        <v>0</v>
      </c>
      <c r="AK144" s="109" t="s">
        <v>10</v>
      </c>
      <c r="AL144" s="109">
        <v>0</v>
      </c>
      <c r="AM144" s="105">
        <v>1.67</v>
      </c>
      <c r="AN144" s="104">
        <v>2</v>
      </c>
      <c r="AO144" s="104">
        <v>2</v>
      </c>
      <c r="AP144" s="104">
        <v>2</v>
      </c>
      <c r="AQ144" s="104">
        <v>1.5</v>
      </c>
    </row>
    <row r="145" spans="1:43" x14ac:dyDescent="0.3">
      <c r="A145" s="105" t="s">
        <v>94</v>
      </c>
      <c r="B145" s="105">
        <v>1.65</v>
      </c>
      <c r="C145" s="105">
        <v>20</v>
      </c>
      <c r="D145" s="105">
        <v>1.65</v>
      </c>
      <c r="E145" s="105">
        <v>4</v>
      </c>
      <c r="F145" s="105">
        <v>1.65</v>
      </c>
      <c r="G145" s="105">
        <v>14</v>
      </c>
      <c r="H145" s="105">
        <v>1.65</v>
      </c>
      <c r="I145" s="105">
        <v>4</v>
      </c>
      <c r="J145" s="105">
        <v>1.8</v>
      </c>
      <c r="K145" s="105">
        <v>4</v>
      </c>
      <c r="L145" s="105">
        <v>1.61</v>
      </c>
      <c r="M145" s="105">
        <v>4</v>
      </c>
      <c r="N145" s="105">
        <v>1.67</v>
      </c>
      <c r="O145" s="104">
        <v>2</v>
      </c>
      <c r="P145" s="105">
        <v>1.67</v>
      </c>
      <c r="Q145" s="104">
        <v>2</v>
      </c>
      <c r="R145" s="105">
        <v>120</v>
      </c>
      <c r="S145" s="105">
        <v>84</v>
      </c>
      <c r="T145" s="105">
        <v>9</v>
      </c>
      <c r="U145" s="105">
        <v>0</v>
      </c>
      <c r="V145" s="105">
        <v>2</v>
      </c>
      <c r="W145" s="105">
        <v>0</v>
      </c>
      <c r="X145" s="105">
        <v>0</v>
      </c>
      <c r="Y145" s="105">
        <v>2</v>
      </c>
      <c r="Z145" s="105">
        <v>0</v>
      </c>
      <c r="AA145" s="109" t="s">
        <v>10</v>
      </c>
      <c r="AB145" s="109">
        <v>0</v>
      </c>
      <c r="AC145" s="109">
        <v>0</v>
      </c>
      <c r="AD145" s="109">
        <v>0</v>
      </c>
      <c r="AE145" s="109" t="s">
        <v>10</v>
      </c>
      <c r="AF145" s="109">
        <v>0</v>
      </c>
      <c r="AG145" s="109" t="s">
        <v>10</v>
      </c>
      <c r="AH145" s="109">
        <v>0</v>
      </c>
      <c r="AI145" s="109" t="s">
        <v>10</v>
      </c>
      <c r="AJ145" s="109">
        <v>0</v>
      </c>
      <c r="AK145" s="109" t="s">
        <v>10</v>
      </c>
      <c r="AL145" s="109">
        <v>0</v>
      </c>
      <c r="AM145" s="105">
        <v>1.67</v>
      </c>
      <c r="AN145" s="104">
        <v>2</v>
      </c>
      <c r="AO145" s="104">
        <v>2</v>
      </c>
      <c r="AP145" s="104">
        <v>2</v>
      </c>
      <c r="AQ145" s="104">
        <v>1.5</v>
      </c>
    </row>
    <row r="146" spans="1:43" x14ac:dyDescent="0.3">
      <c r="A146" s="105" t="s">
        <v>20</v>
      </c>
      <c r="B146" s="105">
        <v>1.65</v>
      </c>
      <c r="C146" s="105">
        <v>22</v>
      </c>
      <c r="D146" s="105">
        <v>1.65</v>
      </c>
      <c r="E146" s="105">
        <v>4</v>
      </c>
      <c r="F146" s="105">
        <v>1.65</v>
      </c>
      <c r="G146" s="105">
        <v>16</v>
      </c>
      <c r="H146" s="105">
        <v>1.65</v>
      </c>
      <c r="I146" s="105">
        <v>4</v>
      </c>
      <c r="J146" s="105">
        <v>1.8</v>
      </c>
      <c r="K146" s="105">
        <v>4</v>
      </c>
      <c r="L146" s="105">
        <v>1.81</v>
      </c>
      <c r="M146" s="105">
        <v>4</v>
      </c>
      <c r="N146" s="105">
        <v>1.67</v>
      </c>
      <c r="O146" s="104">
        <v>2</v>
      </c>
      <c r="P146" s="105">
        <v>1.67</v>
      </c>
      <c r="Q146" s="104">
        <v>2</v>
      </c>
      <c r="R146" s="105">
        <v>132</v>
      </c>
      <c r="S146" s="105">
        <v>128</v>
      </c>
      <c r="T146" s="105">
        <v>9</v>
      </c>
      <c r="U146" s="105">
        <v>0</v>
      </c>
      <c r="V146" s="105">
        <v>0</v>
      </c>
      <c r="W146" s="105">
        <v>2</v>
      </c>
      <c r="X146" s="105">
        <v>0</v>
      </c>
      <c r="Y146" s="105">
        <v>0</v>
      </c>
      <c r="Z146" s="105">
        <v>2</v>
      </c>
      <c r="AA146" s="109" t="s">
        <v>10</v>
      </c>
      <c r="AB146" s="109">
        <v>0</v>
      </c>
      <c r="AC146" s="109">
        <v>0</v>
      </c>
      <c r="AD146" s="109">
        <v>0</v>
      </c>
      <c r="AE146" s="109" t="s">
        <v>10</v>
      </c>
      <c r="AF146" s="109">
        <v>0</v>
      </c>
      <c r="AG146" s="109" t="s">
        <v>10</v>
      </c>
      <c r="AH146" s="109">
        <v>0</v>
      </c>
      <c r="AI146" s="109" t="s">
        <v>10</v>
      </c>
      <c r="AJ146" s="109">
        <v>0</v>
      </c>
      <c r="AK146" s="109" t="s">
        <v>10</v>
      </c>
      <c r="AL146" s="109">
        <v>0</v>
      </c>
      <c r="AM146" s="105">
        <v>1.67</v>
      </c>
      <c r="AN146" s="104">
        <v>2</v>
      </c>
      <c r="AO146" s="104">
        <v>2</v>
      </c>
      <c r="AP146" s="104">
        <v>2</v>
      </c>
      <c r="AQ146" s="104">
        <v>2</v>
      </c>
    </row>
    <row r="147" spans="1:43" x14ac:dyDescent="0.3">
      <c r="A147" s="105" t="s">
        <v>95</v>
      </c>
      <c r="B147" s="105">
        <v>1.65</v>
      </c>
      <c r="C147" s="105">
        <v>14</v>
      </c>
      <c r="D147" s="105">
        <v>1.65</v>
      </c>
      <c r="E147" s="105">
        <v>4</v>
      </c>
      <c r="F147" s="105">
        <v>1.65</v>
      </c>
      <c r="G147" s="105">
        <v>10</v>
      </c>
      <c r="H147" s="105">
        <v>1.65</v>
      </c>
      <c r="I147" s="105">
        <v>2</v>
      </c>
      <c r="J147" s="105">
        <v>1.8</v>
      </c>
      <c r="K147" s="105">
        <v>4</v>
      </c>
      <c r="L147" s="105">
        <v>1.19</v>
      </c>
      <c r="M147" s="105">
        <v>4</v>
      </c>
      <c r="N147" s="105">
        <v>1.67</v>
      </c>
      <c r="O147" s="104">
        <v>2</v>
      </c>
      <c r="P147" s="105">
        <v>1.67</v>
      </c>
      <c r="Q147" s="104">
        <v>2</v>
      </c>
      <c r="R147" s="105">
        <v>144</v>
      </c>
      <c r="S147" s="105">
        <v>96</v>
      </c>
      <c r="T147" s="105">
        <v>24</v>
      </c>
      <c r="U147" s="118">
        <v>0</v>
      </c>
      <c r="V147" s="118">
        <v>0</v>
      </c>
      <c r="W147" s="118">
        <v>0</v>
      </c>
      <c r="X147" s="118">
        <v>0</v>
      </c>
      <c r="Y147" s="118">
        <v>0</v>
      </c>
      <c r="Z147" s="118">
        <v>0</v>
      </c>
      <c r="AA147" s="109" t="s">
        <v>10</v>
      </c>
      <c r="AB147" s="109">
        <v>0</v>
      </c>
      <c r="AC147" s="109">
        <v>0</v>
      </c>
      <c r="AD147" s="109">
        <v>0</v>
      </c>
      <c r="AE147" s="109" t="s">
        <v>10</v>
      </c>
      <c r="AF147" s="109">
        <v>0</v>
      </c>
      <c r="AG147" s="109" t="s">
        <v>10</v>
      </c>
      <c r="AH147" s="109">
        <v>0</v>
      </c>
      <c r="AI147" s="109" t="s">
        <v>10</v>
      </c>
      <c r="AJ147" s="109">
        <v>0</v>
      </c>
      <c r="AK147" s="109" t="s">
        <v>10</v>
      </c>
      <c r="AL147" s="109">
        <v>0</v>
      </c>
      <c r="AM147" s="105">
        <v>1.67</v>
      </c>
      <c r="AN147" s="104">
        <v>2</v>
      </c>
      <c r="AO147" s="104">
        <v>2</v>
      </c>
      <c r="AP147" s="104">
        <v>2</v>
      </c>
      <c r="AQ147" s="104">
        <v>1.5</v>
      </c>
    </row>
    <row r="148" spans="1:43" x14ac:dyDescent="0.3">
      <c r="A148" s="105" t="s">
        <v>96</v>
      </c>
      <c r="B148" s="105">
        <v>1.91</v>
      </c>
      <c r="C148" s="119">
        <v>14</v>
      </c>
      <c r="D148" s="105">
        <v>1.91</v>
      </c>
      <c r="E148" s="119">
        <v>4</v>
      </c>
      <c r="F148" s="105">
        <v>1.91</v>
      </c>
      <c r="G148" s="119">
        <v>10</v>
      </c>
      <c r="H148" s="105">
        <v>1.91</v>
      </c>
      <c r="I148" s="119">
        <v>2</v>
      </c>
      <c r="J148" s="105">
        <v>1.8</v>
      </c>
      <c r="K148" s="105">
        <v>4</v>
      </c>
      <c r="L148" s="105">
        <v>1.19</v>
      </c>
      <c r="M148" s="105">
        <v>4</v>
      </c>
      <c r="N148" s="105">
        <v>1.93</v>
      </c>
      <c r="O148" s="104">
        <v>2</v>
      </c>
      <c r="P148" s="105">
        <v>1.93</v>
      </c>
      <c r="Q148" s="104">
        <v>2</v>
      </c>
      <c r="R148" s="119">
        <v>144</v>
      </c>
      <c r="S148" s="119">
        <v>96</v>
      </c>
      <c r="T148" s="119">
        <v>24</v>
      </c>
      <c r="U148" s="118">
        <v>0</v>
      </c>
      <c r="V148" s="118">
        <v>0</v>
      </c>
      <c r="W148" s="118">
        <v>0</v>
      </c>
      <c r="X148" s="118">
        <v>0</v>
      </c>
      <c r="Y148" s="118">
        <v>0</v>
      </c>
      <c r="Z148" s="118">
        <v>0</v>
      </c>
      <c r="AA148" s="109" t="s">
        <v>10</v>
      </c>
      <c r="AB148" s="109">
        <v>0</v>
      </c>
      <c r="AC148" s="109">
        <v>0</v>
      </c>
      <c r="AD148" s="109">
        <v>0</v>
      </c>
      <c r="AE148" s="109" t="s">
        <v>10</v>
      </c>
      <c r="AF148" s="109">
        <v>0</v>
      </c>
      <c r="AG148" s="109" t="s">
        <v>10</v>
      </c>
      <c r="AH148" s="109">
        <v>0</v>
      </c>
      <c r="AI148" s="109" t="s">
        <v>10</v>
      </c>
      <c r="AJ148" s="109">
        <v>0</v>
      </c>
      <c r="AK148" s="109" t="s">
        <v>10</v>
      </c>
      <c r="AL148" s="109">
        <v>0</v>
      </c>
      <c r="AM148" s="105">
        <v>1.93</v>
      </c>
      <c r="AN148" s="104">
        <v>2</v>
      </c>
      <c r="AO148" s="104">
        <v>2</v>
      </c>
      <c r="AP148" s="104">
        <v>2</v>
      </c>
      <c r="AQ148" s="104">
        <v>1.5</v>
      </c>
    </row>
    <row r="149" spans="1:43" x14ac:dyDescent="0.3">
      <c r="A149" s="105" t="s">
        <v>97</v>
      </c>
      <c r="B149" s="119">
        <v>2.11</v>
      </c>
      <c r="C149" s="119">
        <v>14</v>
      </c>
      <c r="D149" s="119">
        <v>2.11</v>
      </c>
      <c r="E149" s="119">
        <v>4</v>
      </c>
      <c r="F149" s="119">
        <v>2.11</v>
      </c>
      <c r="G149" s="119">
        <v>10</v>
      </c>
      <c r="H149" s="119">
        <v>2.11</v>
      </c>
      <c r="I149" s="119">
        <v>2</v>
      </c>
      <c r="J149" s="119">
        <v>1.8</v>
      </c>
      <c r="K149" s="105">
        <v>4</v>
      </c>
      <c r="L149" s="119">
        <v>1.19</v>
      </c>
      <c r="M149" s="105">
        <v>4</v>
      </c>
      <c r="N149" s="119">
        <v>2.13</v>
      </c>
      <c r="O149" s="104">
        <v>2</v>
      </c>
      <c r="P149" s="119">
        <v>2.13</v>
      </c>
      <c r="Q149" s="104">
        <v>2</v>
      </c>
      <c r="R149" s="119">
        <v>144</v>
      </c>
      <c r="S149" s="119">
        <v>96</v>
      </c>
      <c r="T149" s="119">
        <v>24</v>
      </c>
      <c r="U149" s="118">
        <v>0</v>
      </c>
      <c r="V149" s="118">
        <v>0</v>
      </c>
      <c r="W149" s="118">
        <v>0</v>
      </c>
      <c r="X149" s="118">
        <v>0</v>
      </c>
      <c r="Y149" s="118">
        <v>0</v>
      </c>
      <c r="Z149" s="118">
        <v>0</v>
      </c>
      <c r="AA149" s="109" t="s">
        <v>10</v>
      </c>
      <c r="AB149" s="109">
        <v>0</v>
      </c>
      <c r="AC149" s="109">
        <v>0</v>
      </c>
      <c r="AD149" s="109">
        <v>0</v>
      </c>
      <c r="AE149" s="109" t="s">
        <v>10</v>
      </c>
      <c r="AF149" s="109">
        <v>0</v>
      </c>
      <c r="AG149" s="109" t="s">
        <v>10</v>
      </c>
      <c r="AH149" s="109">
        <v>0</v>
      </c>
      <c r="AI149" s="109" t="s">
        <v>10</v>
      </c>
      <c r="AJ149" s="109">
        <v>0</v>
      </c>
      <c r="AK149" s="109" t="s">
        <v>10</v>
      </c>
      <c r="AL149" s="109">
        <v>0</v>
      </c>
      <c r="AM149" s="119">
        <v>2.13</v>
      </c>
      <c r="AN149" s="104">
        <v>2</v>
      </c>
      <c r="AO149" s="104">
        <v>2.5</v>
      </c>
      <c r="AP149" s="104">
        <v>2</v>
      </c>
      <c r="AQ149" s="104">
        <v>1.5</v>
      </c>
    </row>
    <row r="150" spans="1:43" x14ac:dyDescent="0.3">
      <c r="A150" s="105" t="s">
        <v>98</v>
      </c>
      <c r="B150" s="105">
        <v>1.65</v>
      </c>
      <c r="C150" s="105">
        <v>18</v>
      </c>
      <c r="D150" s="105">
        <v>1.65</v>
      </c>
      <c r="E150" s="105">
        <v>4</v>
      </c>
      <c r="F150" s="105">
        <v>1.65</v>
      </c>
      <c r="G150" s="105">
        <v>14</v>
      </c>
      <c r="H150" s="105">
        <v>1.65</v>
      </c>
      <c r="I150" s="105">
        <v>2</v>
      </c>
      <c r="J150" s="105">
        <v>1.8</v>
      </c>
      <c r="K150" s="105">
        <v>4</v>
      </c>
      <c r="L150" s="105">
        <v>1.49</v>
      </c>
      <c r="M150" s="105">
        <v>4</v>
      </c>
      <c r="N150" s="105">
        <v>1.67</v>
      </c>
      <c r="O150" s="104">
        <v>2</v>
      </c>
      <c r="P150" s="105">
        <v>1.67</v>
      </c>
      <c r="Q150" s="104">
        <v>2</v>
      </c>
      <c r="R150" s="105">
        <v>176</v>
      </c>
      <c r="S150" s="105">
        <v>128</v>
      </c>
      <c r="T150" s="105">
        <v>24</v>
      </c>
      <c r="U150" s="118">
        <v>0</v>
      </c>
      <c r="V150" s="118">
        <v>0</v>
      </c>
      <c r="W150" s="118">
        <v>0</v>
      </c>
      <c r="X150" s="118">
        <v>0</v>
      </c>
      <c r="Y150" s="118">
        <v>0</v>
      </c>
      <c r="Z150" s="118">
        <v>0</v>
      </c>
      <c r="AA150" s="109" t="s">
        <v>10</v>
      </c>
      <c r="AB150" s="109">
        <v>0</v>
      </c>
      <c r="AC150" s="109">
        <v>0</v>
      </c>
      <c r="AD150" s="109">
        <v>0</v>
      </c>
      <c r="AE150" s="109" t="s">
        <v>10</v>
      </c>
      <c r="AF150" s="109">
        <v>0</v>
      </c>
      <c r="AG150" s="109" t="s">
        <v>10</v>
      </c>
      <c r="AH150" s="109">
        <v>0</v>
      </c>
      <c r="AI150" s="109" t="s">
        <v>10</v>
      </c>
      <c r="AJ150" s="109">
        <v>0</v>
      </c>
      <c r="AK150" s="109" t="s">
        <v>10</v>
      </c>
      <c r="AL150" s="109">
        <v>0</v>
      </c>
      <c r="AM150" s="105">
        <v>1.67</v>
      </c>
      <c r="AN150" s="104">
        <v>2</v>
      </c>
      <c r="AO150" s="104">
        <v>2</v>
      </c>
      <c r="AP150" s="104">
        <v>2</v>
      </c>
      <c r="AQ150" s="104">
        <v>1.8</v>
      </c>
    </row>
    <row r="151" spans="1:43" x14ac:dyDescent="0.3">
      <c r="A151" s="105" t="s">
        <v>99</v>
      </c>
      <c r="B151" s="105">
        <v>1.91</v>
      </c>
      <c r="C151" s="119">
        <v>18</v>
      </c>
      <c r="D151" s="105">
        <v>1.91</v>
      </c>
      <c r="E151" s="119">
        <v>4</v>
      </c>
      <c r="F151" s="105">
        <v>1.91</v>
      </c>
      <c r="G151" s="119">
        <v>14</v>
      </c>
      <c r="H151" s="105">
        <v>1.91</v>
      </c>
      <c r="I151" s="119">
        <v>2</v>
      </c>
      <c r="J151" s="105">
        <v>1.8</v>
      </c>
      <c r="K151" s="105">
        <v>4</v>
      </c>
      <c r="L151" s="105">
        <v>1.49</v>
      </c>
      <c r="M151" s="105">
        <v>4</v>
      </c>
      <c r="N151" s="105">
        <v>1.93</v>
      </c>
      <c r="O151" s="104">
        <v>2</v>
      </c>
      <c r="P151" s="105">
        <v>1.93</v>
      </c>
      <c r="Q151" s="104">
        <v>2</v>
      </c>
      <c r="R151" s="119">
        <v>176</v>
      </c>
      <c r="S151" s="119">
        <v>128</v>
      </c>
      <c r="T151" s="119">
        <v>24</v>
      </c>
      <c r="U151" s="118">
        <v>0</v>
      </c>
      <c r="V151" s="118">
        <v>0</v>
      </c>
      <c r="W151" s="118">
        <v>0</v>
      </c>
      <c r="X151" s="118">
        <v>0</v>
      </c>
      <c r="Y151" s="118">
        <v>0</v>
      </c>
      <c r="Z151" s="118">
        <v>0</v>
      </c>
      <c r="AA151" s="109" t="s">
        <v>10</v>
      </c>
      <c r="AB151" s="109">
        <v>0</v>
      </c>
      <c r="AC151" s="109">
        <v>0</v>
      </c>
      <c r="AD151" s="109">
        <v>0</v>
      </c>
      <c r="AE151" s="109" t="s">
        <v>10</v>
      </c>
      <c r="AF151" s="109">
        <v>0</v>
      </c>
      <c r="AG151" s="109" t="s">
        <v>10</v>
      </c>
      <c r="AH151" s="109">
        <v>0</v>
      </c>
      <c r="AI151" s="109" t="s">
        <v>10</v>
      </c>
      <c r="AJ151" s="109">
        <v>0</v>
      </c>
      <c r="AK151" s="109" t="s">
        <v>10</v>
      </c>
      <c r="AL151" s="109">
        <v>0</v>
      </c>
      <c r="AM151" s="105">
        <v>1.93</v>
      </c>
      <c r="AN151" s="104">
        <v>2</v>
      </c>
      <c r="AO151" s="104">
        <v>2</v>
      </c>
      <c r="AP151" s="104">
        <v>2</v>
      </c>
      <c r="AQ151" s="104">
        <v>1.8</v>
      </c>
    </row>
    <row r="152" spans="1:43" x14ac:dyDescent="0.3">
      <c r="A152" s="105" t="s">
        <v>100</v>
      </c>
      <c r="B152" s="119">
        <v>2.11</v>
      </c>
      <c r="C152" s="119">
        <v>18</v>
      </c>
      <c r="D152" s="119">
        <v>2.11</v>
      </c>
      <c r="E152" s="119">
        <v>4</v>
      </c>
      <c r="F152" s="119">
        <v>2.11</v>
      </c>
      <c r="G152" s="119">
        <v>14</v>
      </c>
      <c r="H152" s="119">
        <v>2.11</v>
      </c>
      <c r="I152" s="119">
        <v>2</v>
      </c>
      <c r="J152" s="119">
        <v>1.8</v>
      </c>
      <c r="K152" s="105">
        <v>4</v>
      </c>
      <c r="L152" s="119">
        <v>1.49</v>
      </c>
      <c r="M152" s="105">
        <v>4</v>
      </c>
      <c r="N152" s="119">
        <v>2.13</v>
      </c>
      <c r="O152" s="104">
        <v>2</v>
      </c>
      <c r="P152" s="119">
        <v>2.13</v>
      </c>
      <c r="Q152" s="104">
        <v>2</v>
      </c>
      <c r="R152" s="119">
        <v>176</v>
      </c>
      <c r="S152" s="119">
        <v>128</v>
      </c>
      <c r="T152" s="119">
        <v>24</v>
      </c>
      <c r="U152" s="118">
        <v>0</v>
      </c>
      <c r="V152" s="118">
        <v>0</v>
      </c>
      <c r="W152" s="118">
        <v>0</v>
      </c>
      <c r="X152" s="118">
        <v>0</v>
      </c>
      <c r="Y152" s="118">
        <v>0</v>
      </c>
      <c r="Z152" s="118">
        <v>0</v>
      </c>
      <c r="AA152" s="109" t="s">
        <v>10</v>
      </c>
      <c r="AB152" s="109">
        <v>0</v>
      </c>
      <c r="AC152" s="109">
        <v>0</v>
      </c>
      <c r="AD152" s="109">
        <v>0</v>
      </c>
      <c r="AE152" s="109" t="s">
        <v>10</v>
      </c>
      <c r="AF152" s="109">
        <v>0</v>
      </c>
      <c r="AG152" s="109" t="s">
        <v>10</v>
      </c>
      <c r="AH152" s="109">
        <v>0</v>
      </c>
      <c r="AI152" s="109" t="s">
        <v>10</v>
      </c>
      <c r="AJ152" s="109">
        <v>0</v>
      </c>
      <c r="AK152" s="109" t="s">
        <v>10</v>
      </c>
      <c r="AL152" s="109">
        <v>0</v>
      </c>
      <c r="AM152" s="119">
        <v>2.13</v>
      </c>
      <c r="AN152" s="104">
        <v>2</v>
      </c>
      <c r="AO152" s="104">
        <v>2.5</v>
      </c>
      <c r="AP152" s="104">
        <v>2</v>
      </c>
      <c r="AQ152" s="104">
        <v>1.8</v>
      </c>
    </row>
    <row r="153" spans="1:43" x14ac:dyDescent="0.3">
      <c r="A153" s="105" t="s">
        <v>24</v>
      </c>
      <c r="B153" s="105">
        <v>1.65</v>
      </c>
      <c r="C153" s="105">
        <v>20</v>
      </c>
      <c r="D153" s="105">
        <v>1.65</v>
      </c>
      <c r="E153" s="105">
        <v>4</v>
      </c>
      <c r="F153" s="105">
        <v>1.65</v>
      </c>
      <c r="G153" s="105">
        <v>16</v>
      </c>
      <c r="H153" s="105">
        <v>1.65</v>
      </c>
      <c r="I153" s="105">
        <v>2</v>
      </c>
      <c r="J153" s="105">
        <v>1.8</v>
      </c>
      <c r="K153" s="105">
        <v>4</v>
      </c>
      <c r="L153" s="105">
        <v>1.69</v>
      </c>
      <c r="M153" s="105">
        <v>4</v>
      </c>
      <c r="N153" s="105">
        <v>1.67</v>
      </c>
      <c r="O153" s="104">
        <v>2</v>
      </c>
      <c r="P153" s="105">
        <v>1.67</v>
      </c>
      <c r="Q153" s="104">
        <v>2</v>
      </c>
      <c r="R153" s="105">
        <v>192</v>
      </c>
      <c r="S153" s="105">
        <v>144</v>
      </c>
      <c r="T153" s="105">
        <v>24</v>
      </c>
      <c r="U153" s="118">
        <v>0</v>
      </c>
      <c r="V153" s="118">
        <v>0</v>
      </c>
      <c r="W153" s="118">
        <v>0</v>
      </c>
      <c r="X153" s="118">
        <v>0</v>
      </c>
      <c r="Y153" s="118">
        <v>0</v>
      </c>
      <c r="Z153" s="118">
        <v>0</v>
      </c>
      <c r="AA153" s="109" t="s">
        <v>10</v>
      </c>
      <c r="AB153" s="109">
        <v>0</v>
      </c>
      <c r="AC153" s="109">
        <v>0</v>
      </c>
      <c r="AD153" s="109">
        <v>0</v>
      </c>
      <c r="AE153" s="109" t="s">
        <v>10</v>
      </c>
      <c r="AF153" s="109">
        <v>0</v>
      </c>
      <c r="AG153" s="109" t="s">
        <v>10</v>
      </c>
      <c r="AH153" s="109">
        <v>0</v>
      </c>
      <c r="AI153" s="109" t="s">
        <v>10</v>
      </c>
      <c r="AJ153" s="109">
        <v>0</v>
      </c>
      <c r="AK153" s="109" t="s">
        <v>10</v>
      </c>
      <c r="AL153" s="109">
        <v>0</v>
      </c>
      <c r="AM153" s="105">
        <v>1.67</v>
      </c>
      <c r="AN153" s="104">
        <v>2</v>
      </c>
      <c r="AO153" s="104">
        <v>2</v>
      </c>
      <c r="AP153" s="104">
        <v>2</v>
      </c>
      <c r="AQ153" s="104">
        <v>2</v>
      </c>
    </row>
    <row r="154" spans="1:43" x14ac:dyDescent="0.3">
      <c r="A154" s="105" t="s">
        <v>25</v>
      </c>
      <c r="B154" s="105">
        <v>1.91</v>
      </c>
      <c r="C154" s="119">
        <v>20</v>
      </c>
      <c r="D154" s="105">
        <v>1.91</v>
      </c>
      <c r="E154" s="119">
        <v>4</v>
      </c>
      <c r="F154" s="105">
        <v>1.91</v>
      </c>
      <c r="G154" s="119">
        <v>16</v>
      </c>
      <c r="H154" s="105">
        <v>1.91</v>
      </c>
      <c r="I154" s="119">
        <v>2</v>
      </c>
      <c r="J154" s="105">
        <v>1.8</v>
      </c>
      <c r="K154" s="105">
        <v>4</v>
      </c>
      <c r="L154" s="105">
        <v>1.69</v>
      </c>
      <c r="M154" s="105">
        <v>4</v>
      </c>
      <c r="N154" s="105">
        <v>1.93</v>
      </c>
      <c r="O154" s="104">
        <v>2</v>
      </c>
      <c r="P154" s="105">
        <v>1.93</v>
      </c>
      <c r="Q154" s="104">
        <v>2</v>
      </c>
      <c r="R154" s="119">
        <v>192</v>
      </c>
      <c r="S154" s="119">
        <v>144</v>
      </c>
      <c r="T154" s="119">
        <v>24</v>
      </c>
      <c r="U154" s="118">
        <v>0</v>
      </c>
      <c r="V154" s="118">
        <v>0</v>
      </c>
      <c r="W154" s="118">
        <v>0</v>
      </c>
      <c r="X154" s="118">
        <v>0</v>
      </c>
      <c r="Y154" s="118">
        <v>0</v>
      </c>
      <c r="Z154" s="118">
        <v>0</v>
      </c>
      <c r="AA154" s="109" t="s">
        <v>10</v>
      </c>
      <c r="AB154" s="109">
        <v>0</v>
      </c>
      <c r="AC154" s="109">
        <v>0</v>
      </c>
      <c r="AD154" s="109">
        <v>0</v>
      </c>
      <c r="AE154" s="109" t="s">
        <v>10</v>
      </c>
      <c r="AF154" s="109">
        <v>0</v>
      </c>
      <c r="AG154" s="109" t="s">
        <v>10</v>
      </c>
      <c r="AH154" s="109">
        <v>0</v>
      </c>
      <c r="AI154" s="109" t="s">
        <v>10</v>
      </c>
      <c r="AJ154" s="109">
        <v>0</v>
      </c>
      <c r="AK154" s="109" t="s">
        <v>10</v>
      </c>
      <c r="AL154" s="109">
        <v>0</v>
      </c>
      <c r="AM154" s="105">
        <v>1.93</v>
      </c>
      <c r="AN154" s="104">
        <v>2</v>
      </c>
      <c r="AO154" s="104">
        <v>2</v>
      </c>
      <c r="AP154" s="104">
        <v>2</v>
      </c>
      <c r="AQ154" s="104">
        <v>2</v>
      </c>
    </row>
    <row r="155" spans="1:43" x14ac:dyDescent="0.3">
      <c r="A155" s="105" t="s">
        <v>26</v>
      </c>
      <c r="B155" s="119">
        <v>2.11</v>
      </c>
      <c r="C155" s="119">
        <v>20</v>
      </c>
      <c r="D155" s="119">
        <v>2.11</v>
      </c>
      <c r="E155" s="119">
        <v>4</v>
      </c>
      <c r="F155" s="119">
        <v>2.11</v>
      </c>
      <c r="G155" s="119">
        <v>16</v>
      </c>
      <c r="H155" s="119">
        <v>2.11</v>
      </c>
      <c r="I155" s="119">
        <v>2</v>
      </c>
      <c r="J155" s="119">
        <v>1.8</v>
      </c>
      <c r="K155" s="105">
        <v>4</v>
      </c>
      <c r="L155" s="119">
        <v>1.69</v>
      </c>
      <c r="M155" s="105">
        <v>4</v>
      </c>
      <c r="N155" s="119">
        <v>2.13</v>
      </c>
      <c r="O155" s="104">
        <v>2</v>
      </c>
      <c r="P155" s="119">
        <v>2.13</v>
      </c>
      <c r="Q155" s="104">
        <v>2</v>
      </c>
      <c r="R155" s="119">
        <v>192</v>
      </c>
      <c r="S155" s="119">
        <v>144</v>
      </c>
      <c r="T155" s="119">
        <v>24</v>
      </c>
      <c r="U155" s="118">
        <v>0</v>
      </c>
      <c r="V155" s="118">
        <v>0</v>
      </c>
      <c r="W155" s="118">
        <v>0</v>
      </c>
      <c r="X155" s="118">
        <v>0</v>
      </c>
      <c r="Y155" s="118">
        <v>0</v>
      </c>
      <c r="Z155" s="118">
        <v>0</v>
      </c>
      <c r="AA155" s="109" t="s">
        <v>10</v>
      </c>
      <c r="AB155" s="109">
        <v>0</v>
      </c>
      <c r="AC155" s="109">
        <v>0</v>
      </c>
      <c r="AD155" s="109">
        <v>0</v>
      </c>
      <c r="AE155" s="109" t="s">
        <v>10</v>
      </c>
      <c r="AF155" s="109">
        <v>0</v>
      </c>
      <c r="AG155" s="109" t="s">
        <v>10</v>
      </c>
      <c r="AH155" s="109">
        <v>0</v>
      </c>
      <c r="AI155" s="109" t="s">
        <v>10</v>
      </c>
      <c r="AJ155" s="109">
        <v>0</v>
      </c>
      <c r="AK155" s="109" t="s">
        <v>10</v>
      </c>
      <c r="AL155" s="109">
        <v>0</v>
      </c>
      <c r="AM155" s="119">
        <v>2.13</v>
      </c>
      <c r="AN155" s="104">
        <v>2</v>
      </c>
      <c r="AO155" s="104">
        <v>2.5</v>
      </c>
      <c r="AP155" s="104">
        <v>2</v>
      </c>
      <c r="AQ155" s="104">
        <v>2</v>
      </c>
    </row>
    <row r="156" spans="1:43" x14ac:dyDescent="0.3">
      <c r="A156" s="105" t="s">
        <v>220</v>
      </c>
      <c r="B156" s="119">
        <v>1.39</v>
      </c>
      <c r="C156" s="119">
        <v>20</v>
      </c>
      <c r="D156" s="119">
        <v>1.39</v>
      </c>
      <c r="E156" s="119">
        <v>4</v>
      </c>
      <c r="F156" s="119">
        <v>1.39</v>
      </c>
      <c r="G156" s="119">
        <v>14</v>
      </c>
      <c r="H156" s="119">
        <v>1.39</v>
      </c>
      <c r="I156" s="119">
        <v>4</v>
      </c>
      <c r="J156" s="119">
        <v>1.8</v>
      </c>
      <c r="K156" s="105">
        <v>6</v>
      </c>
      <c r="L156" s="119">
        <v>1.72</v>
      </c>
      <c r="M156" s="105">
        <v>6</v>
      </c>
      <c r="N156" s="119">
        <v>1.41</v>
      </c>
      <c r="O156" s="104">
        <v>2</v>
      </c>
      <c r="P156" s="117">
        <v>1.41</v>
      </c>
      <c r="Q156" s="116">
        <v>2</v>
      </c>
      <c r="R156" s="117">
        <v>288</v>
      </c>
      <c r="S156" s="116">
        <v>216</v>
      </c>
      <c r="T156" s="119">
        <v>36</v>
      </c>
      <c r="U156" s="118">
        <v>0</v>
      </c>
      <c r="V156" s="118">
        <v>0</v>
      </c>
      <c r="W156" s="118">
        <v>0</v>
      </c>
      <c r="X156" s="118">
        <v>0</v>
      </c>
      <c r="Y156" s="118">
        <v>0</v>
      </c>
      <c r="Z156" s="118">
        <v>0</v>
      </c>
      <c r="AA156" s="104">
        <v>1.91</v>
      </c>
      <c r="AB156" s="104">
        <v>1</v>
      </c>
      <c r="AC156" s="104">
        <v>1.91</v>
      </c>
      <c r="AD156" s="104">
        <v>1</v>
      </c>
      <c r="AE156" s="104">
        <v>1.89</v>
      </c>
      <c r="AF156" s="104">
        <v>10</v>
      </c>
      <c r="AG156" s="104">
        <v>1.89</v>
      </c>
      <c r="AH156" s="104">
        <v>2</v>
      </c>
      <c r="AI156" s="104">
        <v>1.89</v>
      </c>
      <c r="AJ156" s="104">
        <v>7</v>
      </c>
      <c r="AK156" s="104">
        <v>1.89</v>
      </c>
      <c r="AL156" s="104">
        <v>2</v>
      </c>
      <c r="AM156" s="119">
        <v>1.41</v>
      </c>
      <c r="AN156" s="104">
        <v>2</v>
      </c>
      <c r="AO156" s="104">
        <v>2</v>
      </c>
      <c r="AP156" s="104">
        <v>3</v>
      </c>
      <c r="AQ156" s="104">
        <v>2</v>
      </c>
    </row>
    <row r="157" spans="1:43" x14ac:dyDescent="0.3">
      <c r="A157" s="105" t="s">
        <v>221</v>
      </c>
      <c r="B157" s="119">
        <v>1.39</v>
      </c>
      <c r="C157" s="119">
        <v>10</v>
      </c>
      <c r="D157" s="119">
        <v>1.39</v>
      </c>
      <c r="E157" s="119">
        <v>2</v>
      </c>
      <c r="F157" s="119">
        <v>1.39</v>
      </c>
      <c r="G157" s="119">
        <v>7</v>
      </c>
      <c r="H157" s="119">
        <v>1.39</v>
      </c>
      <c r="I157" s="119">
        <v>2</v>
      </c>
      <c r="J157" s="119">
        <v>1.8</v>
      </c>
      <c r="K157" s="105">
        <v>6</v>
      </c>
      <c r="L157" s="119">
        <v>1.72</v>
      </c>
      <c r="M157" s="105">
        <v>6</v>
      </c>
      <c r="N157" s="119">
        <v>1.41</v>
      </c>
      <c r="O157" s="104">
        <v>1</v>
      </c>
      <c r="P157" s="117">
        <v>1.41</v>
      </c>
      <c r="Q157" s="116">
        <v>1</v>
      </c>
      <c r="R157" s="117">
        <v>288</v>
      </c>
      <c r="S157" s="116">
        <v>216</v>
      </c>
      <c r="T157" s="119">
        <v>36</v>
      </c>
      <c r="U157" s="118">
        <v>0</v>
      </c>
      <c r="V157" s="118">
        <v>0</v>
      </c>
      <c r="W157" s="118">
        <v>0</v>
      </c>
      <c r="X157" s="118">
        <v>0</v>
      </c>
      <c r="Y157" s="118">
        <v>0</v>
      </c>
      <c r="Z157" s="118">
        <v>0</v>
      </c>
      <c r="AA157" s="104">
        <v>1.91</v>
      </c>
      <c r="AB157" s="104">
        <v>2</v>
      </c>
      <c r="AC157" s="104">
        <v>1.91</v>
      </c>
      <c r="AD157" s="104">
        <v>2</v>
      </c>
      <c r="AE157" s="104">
        <v>1.89</v>
      </c>
      <c r="AF157" s="104">
        <v>20</v>
      </c>
      <c r="AG157" s="104">
        <v>1.89</v>
      </c>
      <c r="AH157" s="104">
        <v>4</v>
      </c>
      <c r="AI157" s="104">
        <v>1.89</v>
      </c>
      <c r="AJ157" s="104">
        <v>14</v>
      </c>
      <c r="AK157" s="104">
        <v>1.89</v>
      </c>
      <c r="AL157" s="104">
        <v>4</v>
      </c>
      <c r="AM157" s="119">
        <v>1.41</v>
      </c>
      <c r="AN157" s="104">
        <v>1</v>
      </c>
      <c r="AO157" s="104">
        <v>2</v>
      </c>
      <c r="AP157" s="104">
        <v>3</v>
      </c>
      <c r="AQ157" s="104">
        <v>2</v>
      </c>
    </row>
    <row r="158" spans="1:43" x14ac:dyDescent="0.3">
      <c r="A158" s="105" t="s">
        <v>222</v>
      </c>
      <c r="B158" s="117" t="s">
        <v>10</v>
      </c>
      <c r="C158" s="116">
        <v>0</v>
      </c>
      <c r="D158" s="117" t="s">
        <v>10</v>
      </c>
      <c r="E158" s="116">
        <v>0</v>
      </c>
      <c r="F158" s="117" t="s">
        <v>10</v>
      </c>
      <c r="G158" s="116">
        <v>0</v>
      </c>
      <c r="H158" s="117" t="s">
        <v>10</v>
      </c>
      <c r="I158" s="116">
        <v>0</v>
      </c>
      <c r="J158" s="119">
        <v>1.8</v>
      </c>
      <c r="K158" s="105">
        <v>6</v>
      </c>
      <c r="L158" s="119">
        <v>1.72</v>
      </c>
      <c r="M158" s="105">
        <v>6</v>
      </c>
      <c r="N158" s="117">
        <v>1.91</v>
      </c>
      <c r="O158" s="116">
        <v>3</v>
      </c>
      <c r="P158" s="117">
        <v>1.91</v>
      </c>
      <c r="Q158" s="116">
        <v>3</v>
      </c>
      <c r="R158" s="117">
        <v>288</v>
      </c>
      <c r="S158" s="116">
        <v>216</v>
      </c>
      <c r="T158" s="119">
        <v>36</v>
      </c>
      <c r="U158" s="118">
        <v>0</v>
      </c>
      <c r="V158" s="118">
        <v>0</v>
      </c>
      <c r="W158" s="118">
        <v>0</v>
      </c>
      <c r="X158" s="118">
        <v>0</v>
      </c>
      <c r="Y158" s="118">
        <v>0</v>
      </c>
      <c r="Z158" s="118">
        <v>0</v>
      </c>
      <c r="AA158" s="104">
        <v>1.91</v>
      </c>
      <c r="AB158" s="104">
        <v>3</v>
      </c>
      <c r="AC158" s="104">
        <v>1.91</v>
      </c>
      <c r="AD158" s="104">
        <v>3</v>
      </c>
      <c r="AE158" s="104">
        <v>1.89</v>
      </c>
      <c r="AF158" s="104">
        <v>30</v>
      </c>
      <c r="AG158" s="104">
        <v>1.89</v>
      </c>
      <c r="AH158" s="104">
        <v>6</v>
      </c>
      <c r="AI158" s="104">
        <v>1.89</v>
      </c>
      <c r="AJ158" s="104">
        <v>21</v>
      </c>
      <c r="AK158" s="104">
        <v>1.89</v>
      </c>
      <c r="AL158" s="104">
        <v>6</v>
      </c>
      <c r="AM158" s="117">
        <v>1.91</v>
      </c>
      <c r="AN158" s="116">
        <v>3</v>
      </c>
      <c r="AO158" s="116">
        <v>2</v>
      </c>
      <c r="AP158" s="104">
        <v>3</v>
      </c>
      <c r="AQ158" s="104">
        <v>2</v>
      </c>
    </row>
    <row r="159" spans="1:43" x14ac:dyDescent="0.3">
      <c r="A159" s="105" t="s">
        <v>101</v>
      </c>
      <c r="B159" s="105">
        <v>1.65</v>
      </c>
      <c r="C159" s="105">
        <v>14</v>
      </c>
      <c r="D159" s="105">
        <v>1.65</v>
      </c>
      <c r="E159" s="105">
        <v>4</v>
      </c>
      <c r="F159" s="105">
        <v>1.65</v>
      </c>
      <c r="G159" s="105">
        <v>10</v>
      </c>
      <c r="H159" s="105">
        <v>1.65</v>
      </c>
      <c r="I159" s="105">
        <v>2</v>
      </c>
      <c r="J159" s="105">
        <v>1.8</v>
      </c>
      <c r="K159" s="105">
        <v>4</v>
      </c>
      <c r="L159" s="105">
        <v>1.19</v>
      </c>
      <c r="M159" s="105">
        <v>4</v>
      </c>
      <c r="N159" s="105">
        <v>1.67</v>
      </c>
      <c r="O159" s="104">
        <v>2</v>
      </c>
      <c r="P159" s="105">
        <v>1.67</v>
      </c>
      <c r="Q159" s="104">
        <v>2</v>
      </c>
      <c r="R159" s="105">
        <v>144</v>
      </c>
      <c r="S159" s="105">
        <v>96</v>
      </c>
      <c r="T159" s="105">
        <v>24</v>
      </c>
      <c r="U159" s="118">
        <v>0</v>
      </c>
      <c r="V159" s="118">
        <v>0</v>
      </c>
      <c r="W159" s="118">
        <v>0</v>
      </c>
      <c r="X159" s="118">
        <v>0</v>
      </c>
      <c r="Y159" s="118">
        <v>0</v>
      </c>
      <c r="Z159" s="118">
        <v>0</v>
      </c>
      <c r="AA159" s="109" t="s">
        <v>10</v>
      </c>
      <c r="AB159" s="109">
        <v>0</v>
      </c>
      <c r="AC159" s="109" t="s">
        <v>10</v>
      </c>
      <c r="AD159" s="109">
        <v>0</v>
      </c>
      <c r="AE159" s="109" t="s">
        <v>10</v>
      </c>
      <c r="AF159" s="109">
        <v>0</v>
      </c>
      <c r="AG159" s="109" t="s">
        <v>10</v>
      </c>
      <c r="AH159" s="109">
        <v>0</v>
      </c>
      <c r="AI159" s="109" t="s">
        <v>10</v>
      </c>
      <c r="AJ159" s="109">
        <v>0</v>
      </c>
      <c r="AK159" s="109" t="s">
        <v>10</v>
      </c>
      <c r="AL159" s="109">
        <v>0</v>
      </c>
      <c r="AM159" s="105">
        <v>1.67</v>
      </c>
      <c r="AN159" s="104">
        <v>2</v>
      </c>
      <c r="AO159" s="104">
        <v>2</v>
      </c>
      <c r="AP159" s="104">
        <v>2</v>
      </c>
      <c r="AQ159" s="104">
        <v>1.5</v>
      </c>
    </row>
    <row r="160" spans="1:43" x14ac:dyDescent="0.3">
      <c r="A160" s="105" t="s">
        <v>103</v>
      </c>
      <c r="B160" s="105">
        <v>1.91</v>
      </c>
      <c r="C160" s="119">
        <v>14</v>
      </c>
      <c r="D160" s="105">
        <v>1.91</v>
      </c>
      <c r="E160" s="119">
        <v>4</v>
      </c>
      <c r="F160" s="105">
        <v>1.91</v>
      </c>
      <c r="G160" s="119">
        <v>10</v>
      </c>
      <c r="H160" s="105">
        <v>1.91</v>
      </c>
      <c r="I160" s="119">
        <v>2</v>
      </c>
      <c r="J160" s="105">
        <v>1.8</v>
      </c>
      <c r="K160" s="105">
        <v>4</v>
      </c>
      <c r="L160" s="105">
        <v>1.19</v>
      </c>
      <c r="M160" s="105">
        <v>4</v>
      </c>
      <c r="N160" s="105">
        <v>1.93</v>
      </c>
      <c r="O160" s="104">
        <v>2</v>
      </c>
      <c r="P160" s="105">
        <v>1.93</v>
      </c>
      <c r="Q160" s="104">
        <v>2</v>
      </c>
      <c r="R160" s="119">
        <v>144</v>
      </c>
      <c r="S160" s="119">
        <v>96</v>
      </c>
      <c r="T160" s="119">
        <v>24</v>
      </c>
      <c r="U160" s="118">
        <v>0</v>
      </c>
      <c r="V160" s="118">
        <v>0</v>
      </c>
      <c r="W160" s="118">
        <v>0</v>
      </c>
      <c r="X160" s="118">
        <v>0</v>
      </c>
      <c r="Y160" s="118">
        <v>0</v>
      </c>
      <c r="Z160" s="118">
        <v>0</v>
      </c>
      <c r="AA160" s="109" t="s">
        <v>10</v>
      </c>
      <c r="AB160" s="109">
        <v>0</v>
      </c>
      <c r="AC160" s="109" t="s">
        <v>10</v>
      </c>
      <c r="AD160" s="109">
        <v>0</v>
      </c>
      <c r="AE160" s="109" t="s">
        <v>10</v>
      </c>
      <c r="AF160" s="109">
        <v>0</v>
      </c>
      <c r="AG160" s="109" t="s">
        <v>10</v>
      </c>
      <c r="AH160" s="109">
        <v>0</v>
      </c>
      <c r="AI160" s="109" t="s">
        <v>10</v>
      </c>
      <c r="AJ160" s="109">
        <v>0</v>
      </c>
      <c r="AK160" s="109" t="s">
        <v>10</v>
      </c>
      <c r="AL160" s="109">
        <v>0</v>
      </c>
      <c r="AM160" s="105">
        <v>1.93</v>
      </c>
      <c r="AN160" s="104">
        <v>2</v>
      </c>
      <c r="AO160" s="104">
        <v>2</v>
      </c>
      <c r="AP160" s="104">
        <v>2</v>
      </c>
      <c r="AQ160" s="104">
        <v>1.5</v>
      </c>
    </row>
    <row r="161" spans="1:43" x14ac:dyDescent="0.3">
      <c r="A161" s="105" t="s">
        <v>104</v>
      </c>
      <c r="B161" s="119">
        <v>2.11</v>
      </c>
      <c r="C161" s="119">
        <v>14</v>
      </c>
      <c r="D161" s="119">
        <v>2.11</v>
      </c>
      <c r="E161" s="119">
        <v>4</v>
      </c>
      <c r="F161" s="119">
        <v>2.11</v>
      </c>
      <c r="G161" s="119">
        <v>10</v>
      </c>
      <c r="H161" s="119">
        <v>2.11</v>
      </c>
      <c r="I161" s="119">
        <v>2</v>
      </c>
      <c r="J161" s="119">
        <v>1.8</v>
      </c>
      <c r="K161" s="105">
        <v>4</v>
      </c>
      <c r="L161" s="119">
        <v>1.19</v>
      </c>
      <c r="M161" s="105">
        <v>4</v>
      </c>
      <c r="N161" s="119">
        <v>2.13</v>
      </c>
      <c r="O161" s="104">
        <v>2</v>
      </c>
      <c r="P161" s="119">
        <v>2.13</v>
      </c>
      <c r="Q161" s="104">
        <v>2</v>
      </c>
      <c r="R161" s="119">
        <v>144</v>
      </c>
      <c r="S161" s="119">
        <v>96</v>
      </c>
      <c r="T161" s="119">
        <v>24</v>
      </c>
      <c r="U161" s="118">
        <v>0</v>
      </c>
      <c r="V161" s="118">
        <v>0</v>
      </c>
      <c r="W161" s="118">
        <v>0</v>
      </c>
      <c r="X161" s="118">
        <v>0</v>
      </c>
      <c r="Y161" s="118">
        <v>0</v>
      </c>
      <c r="Z161" s="118">
        <v>0</v>
      </c>
      <c r="AA161" s="109" t="s">
        <v>10</v>
      </c>
      <c r="AB161" s="109">
        <v>0</v>
      </c>
      <c r="AC161" s="109" t="s">
        <v>10</v>
      </c>
      <c r="AD161" s="109">
        <v>0</v>
      </c>
      <c r="AE161" s="109" t="s">
        <v>10</v>
      </c>
      <c r="AF161" s="109">
        <v>0</v>
      </c>
      <c r="AG161" s="109" t="s">
        <v>10</v>
      </c>
      <c r="AH161" s="109">
        <v>0</v>
      </c>
      <c r="AI161" s="109" t="s">
        <v>10</v>
      </c>
      <c r="AJ161" s="109">
        <v>0</v>
      </c>
      <c r="AK161" s="109" t="s">
        <v>10</v>
      </c>
      <c r="AL161" s="109">
        <v>0</v>
      </c>
      <c r="AM161" s="119">
        <v>2.13</v>
      </c>
      <c r="AN161" s="104">
        <v>2</v>
      </c>
      <c r="AO161" s="104">
        <v>2.5</v>
      </c>
      <c r="AP161" s="104">
        <v>2</v>
      </c>
      <c r="AQ161" s="104">
        <v>1.5</v>
      </c>
    </row>
    <row r="162" spans="1:43" x14ac:dyDescent="0.3">
      <c r="A162" s="105" t="s">
        <v>102</v>
      </c>
      <c r="B162" s="105">
        <v>1.65</v>
      </c>
      <c r="C162" s="105">
        <v>18</v>
      </c>
      <c r="D162" s="105">
        <v>1.65</v>
      </c>
      <c r="E162" s="105">
        <v>4</v>
      </c>
      <c r="F162" s="105">
        <v>1.65</v>
      </c>
      <c r="G162" s="105">
        <v>14</v>
      </c>
      <c r="H162" s="105">
        <v>1.65</v>
      </c>
      <c r="I162" s="105">
        <v>2</v>
      </c>
      <c r="J162" s="105">
        <v>1.8</v>
      </c>
      <c r="K162" s="105">
        <v>4</v>
      </c>
      <c r="L162" s="105">
        <v>1.49</v>
      </c>
      <c r="M162" s="105">
        <v>4</v>
      </c>
      <c r="N162" s="105">
        <v>1.67</v>
      </c>
      <c r="O162" s="104">
        <v>2</v>
      </c>
      <c r="P162" s="105">
        <v>1.67</v>
      </c>
      <c r="Q162" s="104">
        <v>2</v>
      </c>
      <c r="R162" s="105">
        <v>176</v>
      </c>
      <c r="S162" s="105">
        <v>128</v>
      </c>
      <c r="T162" s="105">
        <v>24</v>
      </c>
      <c r="U162" s="118">
        <v>0</v>
      </c>
      <c r="V162" s="118">
        <v>0</v>
      </c>
      <c r="W162" s="118">
        <v>0</v>
      </c>
      <c r="X162" s="118">
        <v>0</v>
      </c>
      <c r="Y162" s="118">
        <v>0</v>
      </c>
      <c r="Z162" s="118">
        <v>0</v>
      </c>
      <c r="AA162" s="109" t="s">
        <v>10</v>
      </c>
      <c r="AB162" s="109">
        <v>0</v>
      </c>
      <c r="AC162" s="109" t="s">
        <v>10</v>
      </c>
      <c r="AD162" s="109">
        <v>0</v>
      </c>
      <c r="AE162" s="109" t="s">
        <v>10</v>
      </c>
      <c r="AF162" s="109">
        <v>0</v>
      </c>
      <c r="AG162" s="109" t="s">
        <v>10</v>
      </c>
      <c r="AH162" s="109">
        <v>0</v>
      </c>
      <c r="AI162" s="109" t="s">
        <v>10</v>
      </c>
      <c r="AJ162" s="109">
        <v>0</v>
      </c>
      <c r="AK162" s="109" t="s">
        <v>10</v>
      </c>
      <c r="AL162" s="109">
        <v>0</v>
      </c>
      <c r="AM162" s="105">
        <v>1.67</v>
      </c>
      <c r="AN162" s="104">
        <v>2</v>
      </c>
      <c r="AO162" s="104">
        <v>2</v>
      </c>
      <c r="AP162" s="104">
        <v>2</v>
      </c>
      <c r="AQ162" s="104">
        <v>1.8</v>
      </c>
    </row>
    <row r="163" spans="1:43" x14ac:dyDescent="0.3">
      <c r="A163" s="105" t="s">
        <v>105</v>
      </c>
      <c r="B163" s="105">
        <v>1.91</v>
      </c>
      <c r="C163" s="119">
        <v>18</v>
      </c>
      <c r="D163" s="105">
        <v>1.91</v>
      </c>
      <c r="E163" s="119">
        <v>4</v>
      </c>
      <c r="F163" s="105">
        <v>1.91</v>
      </c>
      <c r="G163" s="119">
        <v>14</v>
      </c>
      <c r="H163" s="105">
        <v>1.91</v>
      </c>
      <c r="I163" s="119">
        <v>2</v>
      </c>
      <c r="J163" s="105">
        <v>1.8</v>
      </c>
      <c r="K163" s="105">
        <v>4</v>
      </c>
      <c r="L163" s="105">
        <v>1.49</v>
      </c>
      <c r="M163" s="105">
        <v>4</v>
      </c>
      <c r="N163" s="105">
        <v>1.93</v>
      </c>
      <c r="O163" s="104">
        <v>2</v>
      </c>
      <c r="P163" s="105">
        <v>1.93</v>
      </c>
      <c r="Q163" s="104">
        <v>2</v>
      </c>
      <c r="R163" s="119">
        <v>176</v>
      </c>
      <c r="S163" s="119">
        <v>128</v>
      </c>
      <c r="T163" s="119">
        <v>24</v>
      </c>
      <c r="U163" s="118">
        <v>0</v>
      </c>
      <c r="V163" s="118">
        <v>0</v>
      </c>
      <c r="W163" s="118">
        <v>0</v>
      </c>
      <c r="X163" s="118">
        <v>0</v>
      </c>
      <c r="Y163" s="118">
        <v>0</v>
      </c>
      <c r="Z163" s="118">
        <v>0</v>
      </c>
      <c r="AA163" s="109" t="s">
        <v>10</v>
      </c>
      <c r="AB163" s="109">
        <v>0</v>
      </c>
      <c r="AC163" s="109" t="s">
        <v>10</v>
      </c>
      <c r="AD163" s="109">
        <v>0</v>
      </c>
      <c r="AE163" s="109" t="s">
        <v>10</v>
      </c>
      <c r="AF163" s="109">
        <v>0</v>
      </c>
      <c r="AG163" s="109" t="s">
        <v>10</v>
      </c>
      <c r="AH163" s="109">
        <v>0</v>
      </c>
      <c r="AI163" s="109" t="s">
        <v>10</v>
      </c>
      <c r="AJ163" s="109">
        <v>0</v>
      </c>
      <c r="AK163" s="109" t="s">
        <v>10</v>
      </c>
      <c r="AL163" s="109">
        <v>0</v>
      </c>
      <c r="AM163" s="105">
        <v>1.93</v>
      </c>
      <c r="AN163" s="104">
        <v>2</v>
      </c>
      <c r="AO163" s="104">
        <v>2</v>
      </c>
      <c r="AP163" s="104">
        <v>2</v>
      </c>
      <c r="AQ163" s="104">
        <v>1.8</v>
      </c>
    </row>
    <row r="164" spans="1:43" x14ac:dyDescent="0.3">
      <c r="A164" s="105" t="s">
        <v>106</v>
      </c>
      <c r="B164" s="119">
        <v>2.11</v>
      </c>
      <c r="C164" s="119">
        <v>18</v>
      </c>
      <c r="D164" s="119">
        <v>2.11</v>
      </c>
      <c r="E164" s="119">
        <v>4</v>
      </c>
      <c r="F164" s="119">
        <v>2.11</v>
      </c>
      <c r="G164" s="119">
        <v>14</v>
      </c>
      <c r="H164" s="119">
        <v>2.11</v>
      </c>
      <c r="I164" s="119">
        <v>2</v>
      </c>
      <c r="J164" s="119">
        <v>1.8</v>
      </c>
      <c r="K164" s="105">
        <v>4</v>
      </c>
      <c r="L164" s="119">
        <v>1.49</v>
      </c>
      <c r="M164" s="105">
        <v>4</v>
      </c>
      <c r="N164" s="119">
        <v>2.13</v>
      </c>
      <c r="O164" s="104">
        <v>2</v>
      </c>
      <c r="P164" s="119">
        <v>2.1320000000000001</v>
      </c>
      <c r="Q164" s="104">
        <v>2</v>
      </c>
      <c r="R164" s="119">
        <v>176</v>
      </c>
      <c r="S164" s="119">
        <v>128</v>
      </c>
      <c r="T164" s="119">
        <v>24</v>
      </c>
      <c r="U164" s="118">
        <v>0</v>
      </c>
      <c r="V164" s="118">
        <v>0</v>
      </c>
      <c r="W164" s="118">
        <v>0</v>
      </c>
      <c r="X164" s="118">
        <v>0</v>
      </c>
      <c r="Y164" s="118">
        <v>0</v>
      </c>
      <c r="Z164" s="118">
        <v>0</v>
      </c>
      <c r="AA164" s="109" t="s">
        <v>10</v>
      </c>
      <c r="AB164" s="109">
        <v>0</v>
      </c>
      <c r="AC164" s="109" t="s">
        <v>10</v>
      </c>
      <c r="AD164" s="109">
        <v>0</v>
      </c>
      <c r="AE164" s="109" t="s">
        <v>10</v>
      </c>
      <c r="AF164" s="109">
        <v>0</v>
      </c>
      <c r="AG164" s="109" t="s">
        <v>10</v>
      </c>
      <c r="AH164" s="109">
        <v>0</v>
      </c>
      <c r="AI164" s="109" t="s">
        <v>10</v>
      </c>
      <c r="AJ164" s="109">
        <v>0</v>
      </c>
      <c r="AK164" s="109" t="s">
        <v>10</v>
      </c>
      <c r="AL164" s="109">
        <v>0</v>
      </c>
      <c r="AM164" s="119">
        <v>2.13</v>
      </c>
      <c r="AN164" s="104">
        <v>2</v>
      </c>
      <c r="AO164" s="104">
        <v>2.5</v>
      </c>
      <c r="AP164" s="104">
        <v>2</v>
      </c>
      <c r="AQ164" s="104">
        <v>1.8</v>
      </c>
    </row>
    <row r="165" spans="1:43" x14ac:dyDescent="0.3">
      <c r="A165" s="105" t="s">
        <v>31</v>
      </c>
      <c r="B165" s="105">
        <v>1.65</v>
      </c>
      <c r="C165" s="105">
        <v>20</v>
      </c>
      <c r="D165" s="105">
        <v>1.65</v>
      </c>
      <c r="E165" s="105">
        <v>4</v>
      </c>
      <c r="F165" s="105">
        <v>1.65</v>
      </c>
      <c r="G165" s="105">
        <v>16</v>
      </c>
      <c r="H165" s="105">
        <v>1.65</v>
      </c>
      <c r="I165" s="105">
        <v>2</v>
      </c>
      <c r="J165" s="105">
        <v>1.8</v>
      </c>
      <c r="K165" s="105">
        <v>4</v>
      </c>
      <c r="L165" s="105">
        <v>1.69</v>
      </c>
      <c r="M165" s="105">
        <v>4</v>
      </c>
      <c r="N165" s="105">
        <v>1.67</v>
      </c>
      <c r="O165" s="104">
        <v>2</v>
      </c>
      <c r="P165" s="105">
        <v>1.67</v>
      </c>
      <c r="Q165" s="104">
        <v>2</v>
      </c>
      <c r="R165" s="105">
        <v>192</v>
      </c>
      <c r="S165" s="105">
        <v>144</v>
      </c>
      <c r="T165" s="105">
        <v>24</v>
      </c>
      <c r="U165" s="118">
        <v>0</v>
      </c>
      <c r="V165" s="118">
        <v>0</v>
      </c>
      <c r="W165" s="118">
        <v>0</v>
      </c>
      <c r="X165" s="118">
        <v>0</v>
      </c>
      <c r="Y165" s="118">
        <v>0</v>
      </c>
      <c r="Z165" s="118">
        <v>0</v>
      </c>
      <c r="AA165" s="109" t="s">
        <v>10</v>
      </c>
      <c r="AB165" s="109">
        <v>0</v>
      </c>
      <c r="AC165" s="109" t="s">
        <v>10</v>
      </c>
      <c r="AD165" s="109">
        <v>0</v>
      </c>
      <c r="AE165" s="109" t="s">
        <v>10</v>
      </c>
      <c r="AF165" s="109">
        <v>0</v>
      </c>
      <c r="AG165" s="109" t="s">
        <v>10</v>
      </c>
      <c r="AH165" s="109">
        <v>0</v>
      </c>
      <c r="AI165" s="109" t="s">
        <v>10</v>
      </c>
      <c r="AJ165" s="109">
        <v>0</v>
      </c>
      <c r="AK165" s="109" t="s">
        <v>10</v>
      </c>
      <c r="AL165" s="109">
        <v>0</v>
      </c>
      <c r="AM165" s="105">
        <v>1.67</v>
      </c>
      <c r="AN165" s="104">
        <v>2</v>
      </c>
      <c r="AO165" s="104">
        <v>2</v>
      </c>
      <c r="AP165" s="104">
        <v>2</v>
      </c>
      <c r="AQ165" s="104">
        <v>2</v>
      </c>
    </row>
    <row r="166" spans="1:43" x14ac:dyDescent="0.3">
      <c r="A166" s="105" t="s">
        <v>36</v>
      </c>
      <c r="B166" s="105">
        <v>1.91</v>
      </c>
      <c r="C166" s="119">
        <v>20</v>
      </c>
      <c r="D166" s="105">
        <v>1.91</v>
      </c>
      <c r="E166" s="119">
        <v>4</v>
      </c>
      <c r="F166" s="105">
        <v>1.91</v>
      </c>
      <c r="G166" s="119">
        <v>16</v>
      </c>
      <c r="H166" s="105">
        <v>1.91</v>
      </c>
      <c r="I166" s="119">
        <v>2</v>
      </c>
      <c r="J166" s="105">
        <v>1.8</v>
      </c>
      <c r="K166" s="105">
        <v>4</v>
      </c>
      <c r="L166" s="105">
        <v>1.69</v>
      </c>
      <c r="M166" s="105">
        <v>4</v>
      </c>
      <c r="N166" s="105">
        <v>1.93</v>
      </c>
      <c r="O166" s="104">
        <v>2</v>
      </c>
      <c r="P166" s="105">
        <v>1.93</v>
      </c>
      <c r="Q166" s="104">
        <v>2</v>
      </c>
      <c r="R166" s="119">
        <v>192</v>
      </c>
      <c r="S166" s="119">
        <v>144</v>
      </c>
      <c r="T166" s="119">
        <v>24</v>
      </c>
      <c r="U166" s="118">
        <v>0</v>
      </c>
      <c r="V166" s="118">
        <v>0</v>
      </c>
      <c r="W166" s="118">
        <v>0</v>
      </c>
      <c r="X166" s="118">
        <v>0</v>
      </c>
      <c r="Y166" s="118">
        <v>0</v>
      </c>
      <c r="Z166" s="118">
        <v>0</v>
      </c>
      <c r="AA166" s="109" t="s">
        <v>10</v>
      </c>
      <c r="AB166" s="109">
        <v>0</v>
      </c>
      <c r="AC166" s="109" t="s">
        <v>10</v>
      </c>
      <c r="AD166" s="109">
        <v>0</v>
      </c>
      <c r="AE166" s="109" t="s">
        <v>10</v>
      </c>
      <c r="AF166" s="109">
        <v>0</v>
      </c>
      <c r="AG166" s="109" t="s">
        <v>10</v>
      </c>
      <c r="AH166" s="109">
        <v>0</v>
      </c>
      <c r="AI166" s="109" t="s">
        <v>10</v>
      </c>
      <c r="AJ166" s="109">
        <v>0</v>
      </c>
      <c r="AK166" s="109" t="s">
        <v>10</v>
      </c>
      <c r="AL166" s="109">
        <v>0</v>
      </c>
      <c r="AM166" s="105">
        <v>1.93</v>
      </c>
      <c r="AN166" s="104">
        <v>2</v>
      </c>
      <c r="AO166" s="104">
        <v>2</v>
      </c>
      <c r="AP166" s="104">
        <v>2</v>
      </c>
      <c r="AQ166" s="104">
        <v>2</v>
      </c>
    </row>
    <row r="167" spans="1:43" x14ac:dyDescent="0.3">
      <c r="A167" s="105" t="s">
        <v>37</v>
      </c>
      <c r="B167" s="119">
        <v>2.11</v>
      </c>
      <c r="C167" s="119">
        <v>20</v>
      </c>
      <c r="D167" s="119">
        <v>2.11</v>
      </c>
      <c r="E167" s="119">
        <v>4</v>
      </c>
      <c r="F167" s="119">
        <v>2.11</v>
      </c>
      <c r="G167" s="119">
        <v>16</v>
      </c>
      <c r="H167" s="119">
        <v>2.11</v>
      </c>
      <c r="I167" s="119">
        <v>2</v>
      </c>
      <c r="J167" s="119">
        <v>1.8</v>
      </c>
      <c r="K167" s="105">
        <v>4</v>
      </c>
      <c r="L167" s="119">
        <v>1.69</v>
      </c>
      <c r="M167" s="105">
        <v>4</v>
      </c>
      <c r="N167" s="119">
        <v>2.13</v>
      </c>
      <c r="O167" s="104">
        <v>2</v>
      </c>
      <c r="P167" s="119">
        <v>2.13</v>
      </c>
      <c r="Q167" s="104">
        <v>2</v>
      </c>
      <c r="R167" s="119">
        <v>192</v>
      </c>
      <c r="S167" s="119">
        <v>144</v>
      </c>
      <c r="T167" s="119">
        <v>24</v>
      </c>
      <c r="U167" s="118">
        <v>0</v>
      </c>
      <c r="V167" s="118">
        <v>0</v>
      </c>
      <c r="W167" s="118">
        <v>0</v>
      </c>
      <c r="X167" s="118">
        <v>0</v>
      </c>
      <c r="Y167" s="118">
        <v>0</v>
      </c>
      <c r="Z167" s="118">
        <v>0</v>
      </c>
      <c r="AA167" s="109" t="s">
        <v>10</v>
      </c>
      <c r="AB167" s="109">
        <v>0</v>
      </c>
      <c r="AC167" s="109" t="s">
        <v>10</v>
      </c>
      <c r="AD167" s="109">
        <v>0</v>
      </c>
      <c r="AE167" s="109" t="s">
        <v>10</v>
      </c>
      <c r="AF167" s="109">
        <v>0</v>
      </c>
      <c r="AG167" s="109" t="s">
        <v>10</v>
      </c>
      <c r="AH167" s="109">
        <v>0</v>
      </c>
      <c r="AI167" s="109" t="s">
        <v>10</v>
      </c>
      <c r="AJ167" s="109">
        <v>0</v>
      </c>
      <c r="AK167" s="109" t="s">
        <v>10</v>
      </c>
      <c r="AL167" s="109">
        <v>0</v>
      </c>
      <c r="AM167" s="119">
        <v>2.13</v>
      </c>
      <c r="AN167" s="104">
        <v>2</v>
      </c>
      <c r="AO167" s="104">
        <v>2.5</v>
      </c>
      <c r="AP167" s="104">
        <v>2</v>
      </c>
      <c r="AQ167" s="104">
        <v>2</v>
      </c>
    </row>
    <row r="168" spans="1:43" x14ac:dyDescent="0.3">
      <c r="A168" s="105" t="s">
        <v>257</v>
      </c>
      <c r="B168" s="119">
        <v>1.39</v>
      </c>
      <c r="C168" s="119">
        <v>20</v>
      </c>
      <c r="D168" s="119">
        <v>1.39</v>
      </c>
      <c r="E168" s="119">
        <v>4</v>
      </c>
      <c r="F168" s="119">
        <v>1.39</v>
      </c>
      <c r="G168" s="119">
        <v>14</v>
      </c>
      <c r="H168" s="119">
        <v>1.39</v>
      </c>
      <c r="I168" s="119">
        <v>4</v>
      </c>
      <c r="J168" s="119">
        <v>1.8</v>
      </c>
      <c r="K168" s="105">
        <v>6</v>
      </c>
      <c r="L168" s="119">
        <v>1.72</v>
      </c>
      <c r="M168" s="105">
        <v>6</v>
      </c>
      <c r="N168" s="119">
        <v>1.41</v>
      </c>
      <c r="O168" s="104">
        <v>2</v>
      </c>
      <c r="P168" s="117">
        <v>1.41</v>
      </c>
      <c r="Q168" s="116">
        <v>2</v>
      </c>
      <c r="R168" s="117">
        <v>288</v>
      </c>
      <c r="S168" s="116">
        <v>216</v>
      </c>
      <c r="T168" s="119">
        <v>36</v>
      </c>
      <c r="U168" s="118">
        <v>0</v>
      </c>
      <c r="V168" s="118">
        <v>0</v>
      </c>
      <c r="W168" s="118">
        <v>0</v>
      </c>
      <c r="X168" s="118">
        <v>0</v>
      </c>
      <c r="Y168" s="118">
        <v>0</v>
      </c>
      <c r="Z168" s="118">
        <v>0</v>
      </c>
      <c r="AA168" s="104">
        <v>1.91</v>
      </c>
      <c r="AB168" s="104">
        <v>1</v>
      </c>
      <c r="AC168" s="104">
        <v>1.91</v>
      </c>
      <c r="AD168" s="104">
        <v>1</v>
      </c>
      <c r="AE168" s="104">
        <v>1.89</v>
      </c>
      <c r="AF168" s="104">
        <v>10</v>
      </c>
      <c r="AG168" s="104">
        <v>1.89</v>
      </c>
      <c r="AH168" s="104">
        <v>2</v>
      </c>
      <c r="AI168" s="104">
        <v>1.89</v>
      </c>
      <c r="AJ168" s="104">
        <v>7</v>
      </c>
      <c r="AK168" s="104">
        <v>1.89</v>
      </c>
      <c r="AL168" s="104">
        <v>2</v>
      </c>
      <c r="AM168" s="119">
        <v>1.41</v>
      </c>
      <c r="AN168" s="104">
        <v>2</v>
      </c>
      <c r="AO168" s="104">
        <v>2</v>
      </c>
      <c r="AP168" s="104">
        <v>3</v>
      </c>
      <c r="AQ168" s="104">
        <v>2</v>
      </c>
    </row>
    <row r="169" spans="1:43" x14ac:dyDescent="0.3">
      <c r="A169" s="105" t="s">
        <v>258</v>
      </c>
      <c r="B169" s="119">
        <v>1.39</v>
      </c>
      <c r="C169" s="119">
        <v>10</v>
      </c>
      <c r="D169" s="119">
        <v>1.39</v>
      </c>
      <c r="E169" s="119">
        <v>2</v>
      </c>
      <c r="F169" s="119">
        <v>1.39</v>
      </c>
      <c r="G169" s="119">
        <v>7</v>
      </c>
      <c r="H169" s="119">
        <v>1.39</v>
      </c>
      <c r="I169" s="119">
        <v>2</v>
      </c>
      <c r="J169" s="119">
        <v>1.8</v>
      </c>
      <c r="K169" s="105">
        <v>6</v>
      </c>
      <c r="L169" s="119">
        <v>1.72</v>
      </c>
      <c r="M169" s="105">
        <v>6</v>
      </c>
      <c r="N169" s="119">
        <v>1.41</v>
      </c>
      <c r="O169" s="104">
        <v>1</v>
      </c>
      <c r="P169" s="117">
        <v>1.41</v>
      </c>
      <c r="Q169" s="116">
        <v>1</v>
      </c>
      <c r="R169" s="117">
        <v>288</v>
      </c>
      <c r="S169" s="116">
        <v>216</v>
      </c>
      <c r="T169" s="119">
        <v>36</v>
      </c>
      <c r="U169" s="118">
        <v>0</v>
      </c>
      <c r="V169" s="118">
        <v>0</v>
      </c>
      <c r="W169" s="118">
        <v>0</v>
      </c>
      <c r="X169" s="118">
        <v>0</v>
      </c>
      <c r="Y169" s="118">
        <v>0</v>
      </c>
      <c r="Z169" s="118">
        <v>0</v>
      </c>
      <c r="AA169" s="104">
        <v>1.91</v>
      </c>
      <c r="AB169" s="104">
        <v>2</v>
      </c>
      <c r="AC169" s="104">
        <v>1.91</v>
      </c>
      <c r="AD169" s="104">
        <v>2</v>
      </c>
      <c r="AE169" s="104">
        <v>1.89</v>
      </c>
      <c r="AF169" s="104">
        <v>20</v>
      </c>
      <c r="AG169" s="104">
        <v>1.89</v>
      </c>
      <c r="AH169" s="104">
        <v>4</v>
      </c>
      <c r="AI169" s="104">
        <v>1.89</v>
      </c>
      <c r="AJ169" s="104">
        <v>14</v>
      </c>
      <c r="AK169" s="104">
        <v>1.89</v>
      </c>
      <c r="AL169" s="104">
        <v>4</v>
      </c>
      <c r="AM169" s="119">
        <v>1.41</v>
      </c>
      <c r="AN169" s="104">
        <v>1</v>
      </c>
      <c r="AO169" s="104">
        <v>2</v>
      </c>
      <c r="AP169" s="104">
        <v>3</v>
      </c>
      <c r="AQ169" s="104">
        <v>2</v>
      </c>
    </row>
    <row r="170" spans="1:43" x14ac:dyDescent="0.3">
      <c r="A170" s="105" t="s">
        <v>259</v>
      </c>
      <c r="B170" s="117" t="s">
        <v>10</v>
      </c>
      <c r="C170" s="116">
        <v>0</v>
      </c>
      <c r="D170" s="117" t="s">
        <v>10</v>
      </c>
      <c r="E170" s="116">
        <v>0</v>
      </c>
      <c r="F170" s="117" t="s">
        <v>10</v>
      </c>
      <c r="G170" s="116">
        <v>0</v>
      </c>
      <c r="H170" s="117" t="s">
        <v>10</v>
      </c>
      <c r="I170" s="116">
        <v>0</v>
      </c>
      <c r="J170" s="119">
        <v>1.8</v>
      </c>
      <c r="K170" s="105">
        <v>6</v>
      </c>
      <c r="L170" s="119">
        <v>1.72</v>
      </c>
      <c r="M170" s="105">
        <v>6</v>
      </c>
      <c r="N170" s="117">
        <v>1.91</v>
      </c>
      <c r="O170" s="116">
        <v>3</v>
      </c>
      <c r="P170" s="117">
        <v>1.91</v>
      </c>
      <c r="Q170" s="116">
        <v>3</v>
      </c>
      <c r="R170" s="117">
        <v>288</v>
      </c>
      <c r="S170" s="116">
        <v>216</v>
      </c>
      <c r="T170" s="119">
        <v>36</v>
      </c>
      <c r="U170" s="118">
        <v>0</v>
      </c>
      <c r="V170" s="118">
        <v>0</v>
      </c>
      <c r="W170" s="118">
        <v>0</v>
      </c>
      <c r="X170" s="118">
        <v>0</v>
      </c>
      <c r="Y170" s="118">
        <v>0</v>
      </c>
      <c r="Z170" s="118">
        <v>0</v>
      </c>
      <c r="AA170" s="104">
        <v>1.91</v>
      </c>
      <c r="AB170" s="104">
        <v>3</v>
      </c>
      <c r="AC170" s="104">
        <v>1.91</v>
      </c>
      <c r="AD170" s="104">
        <v>3</v>
      </c>
      <c r="AE170" s="104">
        <v>1.89</v>
      </c>
      <c r="AF170" s="104">
        <v>30</v>
      </c>
      <c r="AG170" s="104">
        <v>1.89</v>
      </c>
      <c r="AH170" s="104">
        <v>6</v>
      </c>
      <c r="AI170" s="104">
        <v>1.89</v>
      </c>
      <c r="AJ170" s="104">
        <v>21</v>
      </c>
      <c r="AK170" s="104">
        <v>1.89</v>
      </c>
      <c r="AL170" s="104">
        <v>6</v>
      </c>
      <c r="AM170" s="117">
        <v>1.91</v>
      </c>
      <c r="AN170" s="116">
        <v>3</v>
      </c>
      <c r="AO170" s="116">
        <v>2</v>
      </c>
      <c r="AP170" s="104">
        <v>3</v>
      </c>
      <c r="AQ170" s="104">
        <v>2</v>
      </c>
    </row>
    <row r="174" spans="1:43" x14ac:dyDescent="0.3">
      <c r="A174" s="27" t="s">
        <v>151</v>
      </c>
    </row>
    <row r="175" spans="1:43" x14ac:dyDescent="0.3">
      <c r="A175" s="61" t="s">
        <v>10</v>
      </c>
    </row>
    <row r="176" spans="1:43" x14ac:dyDescent="0.3">
      <c r="A176" s="61" t="s">
        <v>152</v>
      </c>
    </row>
    <row r="177" spans="1:2" x14ac:dyDescent="0.3">
      <c r="A177" s="61" t="s">
        <v>153</v>
      </c>
    </row>
    <row r="178" spans="1:2" x14ac:dyDescent="0.3">
      <c r="A178" s="61" t="s">
        <v>154</v>
      </c>
    </row>
    <row r="181" spans="1:2" ht="18" x14ac:dyDescent="0.35">
      <c r="A181" s="100" t="s">
        <v>157</v>
      </c>
    </row>
    <row r="182" spans="1:2" ht="28.8" x14ac:dyDescent="0.3">
      <c r="A182" s="258" t="s">
        <v>53</v>
      </c>
      <c r="B182" s="88" t="s">
        <v>169</v>
      </c>
    </row>
    <row r="183" spans="1:2" ht="43.2" x14ac:dyDescent="0.3">
      <c r="A183" s="259"/>
      <c r="B183" s="88" t="s">
        <v>170</v>
      </c>
    </row>
    <row r="184" spans="1:2" x14ac:dyDescent="0.3">
      <c r="A184" s="87">
        <v>0</v>
      </c>
      <c r="B184" s="89">
        <v>0</v>
      </c>
    </row>
    <row r="185" spans="1:2" x14ac:dyDescent="0.3">
      <c r="A185" s="87">
        <v>0.5</v>
      </c>
      <c r="B185" s="89">
        <v>4</v>
      </c>
    </row>
    <row r="186" spans="1:2" x14ac:dyDescent="0.3">
      <c r="A186" s="87">
        <v>0.6</v>
      </c>
      <c r="B186" s="89">
        <v>5</v>
      </c>
    </row>
    <row r="187" spans="1:2" x14ac:dyDescent="0.3">
      <c r="A187" s="87">
        <v>0.7</v>
      </c>
      <c r="B187" s="89">
        <v>5.9999999999999991</v>
      </c>
    </row>
    <row r="188" spans="1:2" x14ac:dyDescent="0.3">
      <c r="A188" s="87">
        <v>0.8</v>
      </c>
      <c r="B188" s="89">
        <v>7</v>
      </c>
    </row>
    <row r="189" spans="1:2" x14ac:dyDescent="0.3">
      <c r="A189" s="87">
        <v>0.9</v>
      </c>
      <c r="B189" s="89">
        <v>8</v>
      </c>
    </row>
    <row r="190" spans="1:2" x14ac:dyDescent="0.3">
      <c r="A190" s="87">
        <v>1</v>
      </c>
      <c r="B190" s="89">
        <v>9</v>
      </c>
    </row>
    <row r="191" spans="1:2" x14ac:dyDescent="0.3">
      <c r="A191" s="87">
        <v>1.1000000000000001</v>
      </c>
      <c r="B191" s="89">
        <v>10</v>
      </c>
    </row>
    <row r="192" spans="1:2" x14ac:dyDescent="0.3">
      <c r="A192" s="87">
        <v>1.2</v>
      </c>
      <c r="B192" s="89">
        <v>10.999999999999998</v>
      </c>
    </row>
    <row r="193" spans="1:2" x14ac:dyDescent="0.3">
      <c r="A193" s="87">
        <v>1.3</v>
      </c>
      <c r="B193" s="89">
        <v>11.999999999999998</v>
      </c>
    </row>
    <row r="194" spans="1:2" x14ac:dyDescent="0.3">
      <c r="A194" s="87">
        <v>1.4</v>
      </c>
      <c r="B194" s="89">
        <v>12.999999999999998</v>
      </c>
    </row>
    <row r="195" spans="1:2" x14ac:dyDescent="0.3">
      <c r="A195" s="87">
        <v>1.5</v>
      </c>
      <c r="B195" s="89">
        <v>13.999999999999998</v>
      </c>
    </row>
    <row r="196" spans="1:2" x14ac:dyDescent="0.3">
      <c r="A196" s="87">
        <v>1.6</v>
      </c>
      <c r="B196" s="89">
        <v>15</v>
      </c>
    </row>
    <row r="197" spans="1:2" x14ac:dyDescent="0.3">
      <c r="A197" s="87">
        <v>1.7</v>
      </c>
      <c r="B197" s="89">
        <v>15.999999999999998</v>
      </c>
    </row>
    <row r="198" spans="1:2" x14ac:dyDescent="0.3">
      <c r="A198" s="87">
        <v>1.8</v>
      </c>
      <c r="B198" s="89">
        <v>17</v>
      </c>
    </row>
    <row r="199" spans="1:2" x14ac:dyDescent="0.3">
      <c r="A199" s="87">
        <v>1.9</v>
      </c>
      <c r="B199" s="89">
        <v>17.999999999999996</v>
      </c>
    </row>
    <row r="200" spans="1:2" x14ac:dyDescent="0.3">
      <c r="A200" s="87">
        <v>2</v>
      </c>
      <c r="B200" s="89">
        <v>18.999999999999996</v>
      </c>
    </row>
    <row r="201" spans="1:2" x14ac:dyDescent="0.3">
      <c r="A201" s="87">
        <v>2.1</v>
      </c>
      <c r="B201" s="89">
        <v>20</v>
      </c>
    </row>
    <row r="202" spans="1:2" x14ac:dyDescent="0.3">
      <c r="A202" s="87">
        <v>2.2000000000000002</v>
      </c>
      <c r="B202" s="89">
        <v>21</v>
      </c>
    </row>
    <row r="203" spans="1:2" x14ac:dyDescent="0.3">
      <c r="A203" s="87">
        <v>2.2999999999999998</v>
      </c>
      <c r="B203" s="89">
        <v>21.999999999999996</v>
      </c>
    </row>
    <row r="204" spans="1:2" x14ac:dyDescent="0.3">
      <c r="A204" s="87">
        <v>2.4</v>
      </c>
      <c r="B204" s="89">
        <v>22.999999999999996</v>
      </c>
    </row>
    <row r="205" spans="1:2" x14ac:dyDescent="0.3">
      <c r="A205" s="87">
        <v>2.5</v>
      </c>
      <c r="B205" s="89">
        <v>23.999999999999996</v>
      </c>
    </row>
    <row r="206" spans="1:2" x14ac:dyDescent="0.3">
      <c r="A206" s="87">
        <v>2.6</v>
      </c>
      <c r="B206" s="89">
        <v>25</v>
      </c>
    </row>
    <row r="207" spans="1:2" x14ac:dyDescent="0.3">
      <c r="A207" s="87">
        <v>2.7</v>
      </c>
      <c r="B207" s="89">
        <v>26</v>
      </c>
    </row>
    <row r="208" spans="1:2" x14ac:dyDescent="0.3">
      <c r="A208" s="87">
        <v>2.8</v>
      </c>
      <c r="B208" s="89">
        <v>27</v>
      </c>
    </row>
    <row r="209" spans="1:28" x14ac:dyDescent="0.3">
      <c r="A209" s="87">
        <v>2.9</v>
      </c>
      <c r="B209" s="89">
        <v>28</v>
      </c>
    </row>
    <row r="210" spans="1:28" x14ac:dyDescent="0.3">
      <c r="A210" s="87">
        <v>3</v>
      </c>
      <c r="B210" s="89">
        <v>29</v>
      </c>
    </row>
    <row r="212" spans="1:28" x14ac:dyDescent="0.3">
      <c r="A212" s="48">
        <v>1</v>
      </c>
      <c r="B212" s="49">
        <v>2</v>
      </c>
      <c r="C212" s="49">
        <v>3</v>
      </c>
      <c r="D212" s="49">
        <v>4</v>
      </c>
      <c r="E212" s="49">
        <v>5</v>
      </c>
      <c r="F212" s="49">
        <v>6</v>
      </c>
      <c r="G212" s="49">
        <v>7</v>
      </c>
      <c r="H212" s="49">
        <v>8</v>
      </c>
      <c r="I212" s="49">
        <v>9</v>
      </c>
      <c r="J212" s="49">
        <v>10</v>
      </c>
      <c r="K212" s="49">
        <v>11</v>
      </c>
      <c r="L212" s="49">
        <v>12</v>
      </c>
      <c r="M212" s="49">
        <v>13</v>
      </c>
      <c r="N212" s="49">
        <v>14</v>
      </c>
      <c r="O212" s="49">
        <v>15</v>
      </c>
      <c r="P212" s="49">
        <v>16</v>
      </c>
      <c r="Q212" s="49">
        <v>17</v>
      </c>
      <c r="R212" s="49">
        <v>18</v>
      </c>
      <c r="S212" s="49">
        <v>19</v>
      </c>
      <c r="T212" s="49">
        <v>20</v>
      </c>
      <c r="U212" s="49">
        <v>21</v>
      </c>
      <c r="V212" s="49">
        <v>22</v>
      </c>
      <c r="W212" s="49">
        <v>23</v>
      </c>
      <c r="X212" s="49">
        <v>24</v>
      </c>
      <c r="Y212" s="49">
        <v>25</v>
      </c>
      <c r="Z212" s="49">
        <v>26</v>
      </c>
      <c r="AA212" s="49">
        <v>27</v>
      </c>
    </row>
    <row r="213" spans="1:28" ht="52.8" x14ac:dyDescent="0.3">
      <c r="A213" s="102" t="s">
        <v>54</v>
      </c>
      <c r="B213" s="103" t="s">
        <v>188</v>
      </c>
      <c r="C213" s="103" t="s">
        <v>55</v>
      </c>
      <c r="D213" s="103" t="s">
        <v>224</v>
      </c>
      <c r="E213" s="103" t="s">
        <v>244</v>
      </c>
      <c r="F213" s="103" t="s">
        <v>178</v>
      </c>
      <c r="G213" s="103" t="s">
        <v>56</v>
      </c>
      <c r="H213" s="103" t="s">
        <v>189</v>
      </c>
      <c r="I213" s="103" t="s">
        <v>190</v>
      </c>
      <c r="J213" s="103" t="s">
        <v>191</v>
      </c>
      <c r="K213" s="103" t="s">
        <v>190</v>
      </c>
      <c r="L213" s="103" t="s">
        <v>162</v>
      </c>
      <c r="M213" s="103" t="s">
        <v>190</v>
      </c>
      <c r="N213" s="103" t="s">
        <v>163</v>
      </c>
      <c r="O213" s="103" t="s">
        <v>190</v>
      </c>
      <c r="P213" s="103" t="s">
        <v>12</v>
      </c>
      <c r="Q213" s="103" t="s">
        <v>45</v>
      </c>
      <c r="R213" s="103" t="s">
        <v>47</v>
      </c>
      <c r="S213" s="103" t="s">
        <v>193</v>
      </c>
    </row>
    <row r="214" spans="1:28" x14ac:dyDescent="0.3">
      <c r="A214" s="105" t="s">
        <v>44</v>
      </c>
      <c r="B214" s="106">
        <v>0</v>
      </c>
      <c r="C214" s="107">
        <v>0</v>
      </c>
      <c r="D214" s="107">
        <v>0</v>
      </c>
      <c r="E214" s="107">
        <v>0</v>
      </c>
      <c r="F214" s="106">
        <v>0</v>
      </c>
      <c r="G214" s="107">
        <v>0</v>
      </c>
      <c r="H214" s="106">
        <v>0</v>
      </c>
      <c r="I214" s="107">
        <v>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11">
        <v>0</v>
      </c>
      <c r="Q214" s="104">
        <v>0</v>
      </c>
      <c r="R214" s="104">
        <v>0</v>
      </c>
      <c r="S214" s="104">
        <v>0</v>
      </c>
    </row>
    <row r="215" spans="1:28" x14ac:dyDescent="0.3">
      <c r="A215" s="105" t="s">
        <v>16</v>
      </c>
      <c r="B215" s="106">
        <v>14</v>
      </c>
      <c r="C215" s="107">
        <v>0.85</v>
      </c>
      <c r="D215" s="107">
        <v>0</v>
      </c>
      <c r="E215" s="107">
        <v>0.85</v>
      </c>
      <c r="F215" s="106">
        <v>2</v>
      </c>
      <c r="G215" s="107">
        <v>1.5</v>
      </c>
      <c r="H215" s="106">
        <v>2</v>
      </c>
      <c r="I215" s="107">
        <v>0.86</v>
      </c>
      <c r="J215" s="106">
        <v>2</v>
      </c>
      <c r="K215" s="107">
        <v>0.86</v>
      </c>
      <c r="L215" s="106">
        <v>3</v>
      </c>
      <c r="M215" s="106">
        <v>1.4</v>
      </c>
      <c r="N215" s="106">
        <v>3</v>
      </c>
      <c r="O215" s="106">
        <v>1.4</v>
      </c>
      <c r="P215" s="111">
        <v>50</v>
      </c>
      <c r="Q215" s="104">
        <v>1</v>
      </c>
      <c r="R215" s="104">
        <v>0</v>
      </c>
      <c r="S215" s="104">
        <v>0</v>
      </c>
    </row>
    <row r="216" spans="1:28" x14ac:dyDescent="0.3">
      <c r="A216" s="105" t="s">
        <v>179</v>
      </c>
      <c r="B216" s="106">
        <v>14</v>
      </c>
      <c r="C216" s="107">
        <v>1.36</v>
      </c>
      <c r="D216" s="107">
        <v>0</v>
      </c>
      <c r="E216" s="107">
        <v>1.36</v>
      </c>
      <c r="F216" s="106">
        <v>2</v>
      </c>
      <c r="G216" s="107">
        <v>1.5</v>
      </c>
      <c r="H216" s="106">
        <v>2</v>
      </c>
      <c r="I216" s="107">
        <v>1.37</v>
      </c>
      <c r="J216" s="106">
        <v>2</v>
      </c>
      <c r="K216" s="107">
        <v>1.37</v>
      </c>
      <c r="L216" s="106">
        <v>3</v>
      </c>
      <c r="M216" s="106">
        <v>1.4</v>
      </c>
      <c r="N216" s="106">
        <v>3</v>
      </c>
      <c r="O216" s="106">
        <v>1.4</v>
      </c>
      <c r="P216" s="111">
        <v>50</v>
      </c>
      <c r="Q216" s="104">
        <v>1</v>
      </c>
      <c r="R216" s="104">
        <v>0</v>
      </c>
      <c r="S216" s="104">
        <v>0</v>
      </c>
    </row>
    <row r="217" spans="1:28" x14ac:dyDescent="0.3">
      <c r="A217" s="105" t="s">
        <v>17</v>
      </c>
      <c r="B217" s="106">
        <v>16</v>
      </c>
      <c r="C217" s="107">
        <v>0.85</v>
      </c>
      <c r="D217" s="107">
        <v>2</v>
      </c>
      <c r="E217" s="107">
        <v>0.85</v>
      </c>
      <c r="F217" s="106">
        <v>2</v>
      </c>
      <c r="G217" s="107">
        <v>1.83</v>
      </c>
      <c r="H217" s="106">
        <v>2</v>
      </c>
      <c r="I217" s="107">
        <v>0.86</v>
      </c>
      <c r="J217" s="106">
        <v>2</v>
      </c>
      <c r="K217" s="107">
        <v>0.86</v>
      </c>
      <c r="L217" s="106">
        <v>3</v>
      </c>
      <c r="M217" s="106">
        <v>1.73</v>
      </c>
      <c r="N217" s="106">
        <v>3</v>
      </c>
      <c r="O217" s="106">
        <v>1.73</v>
      </c>
      <c r="P217" s="111">
        <v>55</v>
      </c>
      <c r="Q217" s="104">
        <v>0</v>
      </c>
      <c r="R217" s="104">
        <v>1</v>
      </c>
      <c r="S217" s="104">
        <v>0</v>
      </c>
    </row>
    <row r="218" spans="1:28" x14ac:dyDescent="0.3">
      <c r="A218" s="105" t="s">
        <v>180</v>
      </c>
      <c r="B218" s="106">
        <v>16</v>
      </c>
      <c r="C218" s="107">
        <v>1.36</v>
      </c>
      <c r="D218" s="107">
        <v>2</v>
      </c>
      <c r="E218" s="107">
        <v>1.36</v>
      </c>
      <c r="F218" s="106">
        <v>2</v>
      </c>
      <c r="G218" s="107">
        <v>1.83</v>
      </c>
      <c r="H218" s="106">
        <v>2</v>
      </c>
      <c r="I218" s="107">
        <v>1.37</v>
      </c>
      <c r="J218" s="106">
        <v>2</v>
      </c>
      <c r="K218" s="107">
        <v>1.37</v>
      </c>
      <c r="L218" s="106">
        <v>3</v>
      </c>
      <c r="M218" s="106">
        <v>1.73</v>
      </c>
      <c r="N218" s="106">
        <v>3</v>
      </c>
      <c r="O218" s="106">
        <v>1.73</v>
      </c>
      <c r="P218" s="111">
        <v>55</v>
      </c>
      <c r="Q218" s="104">
        <v>0</v>
      </c>
      <c r="R218" s="104">
        <v>1</v>
      </c>
      <c r="S218" s="104">
        <v>0</v>
      </c>
    </row>
    <row r="219" spans="1:28" x14ac:dyDescent="0.3">
      <c r="A219" s="105" t="s">
        <v>181</v>
      </c>
      <c r="B219" s="106">
        <v>21</v>
      </c>
      <c r="C219" s="107">
        <v>0.85</v>
      </c>
      <c r="D219" s="107">
        <v>2</v>
      </c>
      <c r="E219" s="107">
        <v>0.85</v>
      </c>
      <c r="F219" s="106">
        <v>2</v>
      </c>
      <c r="G219" s="107">
        <v>2.33</v>
      </c>
      <c r="H219" s="106">
        <v>2</v>
      </c>
      <c r="I219" s="107">
        <v>0.86</v>
      </c>
      <c r="J219" s="106">
        <v>2</v>
      </c>
      <c r="K219" s="107">
        <v>0.86</v>
      </c>
      <c r="L219" s="106">
        <v>3</v>
      </c>
      <c r="M219" s="106">
        <v>2.23</v>
      </c>
      <c r="N219" s="106">
        <v>3</v>
      </c>
      <c r="O219" s="106">
        <v>2.23</v>
      </c>
      <c r="P219" s="111">
        <v>60</v>
      </c>
      <c r="Q219" s="104">
        <v>0</v>
      </c>
      <c r="R219" s="104">
        <v>0</v>
      </c>
      <c r="S219" s="104">
        <v>1</v>
      </c>
    </row>
    <row r="220" spans="1:28" ht="52.8" x14ac:dyDescent="0.3">
      <c r="A220" s="108" t="s">
        <v>46</v>
      </c>
      <c r="B220" s="103" t="s">
        <v>226</v>
      </c>
      <c r="C220" s="103" t="s">
        <v>228</v>
      </c>
      <c r="D220" s="103" t="s">
        <v>230</v>
      </c>
      <c r="E220" s="103" t="s">
        <v>231</v>
      </c>
      <c r="F220" s="103" t="s">
        <v>178</v>
      </c>
      <c r="G220" s="103" t="s">
        <v>56</v>
      </c>
      <c r="H220" s="103" t="s">
        <v>234</v>
      </c>
      <c r="I220" s="103" t="s">
        <v>235</v>
      </c>
      <c r="J220" s="103" t="s">
        <v>236</v>
      </c>
      <c r="K220" s="103" t="s">
        <v>235</v>
      </c>
      <c r="L220" s="103" t="s">
        <v>162</v>
      </c>
      <c r="M220" s="103" t="s">
        <v>190</v>
      </c>
      <c r="N220" s="103" t="s">
        <v>163</v>
      </c>
      <c r="O220" s="103" t="s">
        <v>190</v>
      </c>
      <c r="P220" s="103" t="s">
        <v>12</v>
      </c>
      <c r="Q220" s="103" t="s">
        <v>45</v>
      </c>
      <c r="R220" s="103" t="s">
        <v>47</v>
      </c>
      <c r="S220" s="103" t="s">
        <v>193</v>
      </c>
      <c r="T220" s="103" t="s">
        <v>227</v>
      </c>
      <c r="U220" s="103" t="s">
        <v>229</v>
      </c>
      <c r="V220" s="103" t="s">
        <v>232</v>
      </c>
      <c r="W220" s="103" t="s">
        <v>233</v>
      </c>
      <c r="X220" s="103" t="s">
        <v>237</v>
      </c>
      <c r="Y220" s="103" t="s">
        <v>238</v>
      </c>
      <c r="Z220" s="103" t="s">
        <v>239</v>
      </c>
      <c r="AA220" s="103" t="s">
        <v>238</v>
      </c>
      <c r="AB220" s="126" t="s">
        <v>5</v>
      </c>
    </row>
    <row r="221" spans="1:28" x14ac:dyDescent="0.3">
      <c r="A221" s="105" t="s">
        <v>44</v>
      </c>
      <c r="B221" s="106">
        <v>0</v>
      </c>
      <c r="C221" s="107">
        <v>0</v>
      </c>
      <c r="D221" s="107">
        <v>0</v>
      </c>
      <c r="E221" s="107">
        <v>0</v>
      </c>
      <c r="F221" s="106">
        <v>0</v>
      </c>
      <c r="G221" s="107">
        <v>0</v>
      </c>
      <c r="H221" s="106">
        <v>0</v>
      </c>
      <c r="I221" s="110">
        <v>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11">
        <v>0</v>
      </c>
      <c r="Q221" s="104">
        <v>0</v>
      </c>
      <c r="R221" s="104">
        <v>0</v>
      </c>
      <c r="S221" s="104">
        <v>0</v>
      </c>
      <c r="T221" s="104"/>
      <c r="U221" s="104"/>
      <c r="V221" s="104"/>
      <c r="W221" s="104"/>
      <c r="X221" s="104"/>
      <c r="Y221" s="104"/>
      <c r="Z221" s="104"/>
      <c r="AA221" s="104"/>
      <c r="AB221">
        <v>0</v>
      </c>
    </row>
    <row r="222" spans="1:28" x14ac:dyDescent="0.3">
      <c r="A222" s="105" t="s">
        <v>19</v>
      </c>
      <c r="B222" s="106">
        <v>28</v>
      </c>
      <c r="C222" s="112">
        <v>1.66</v>
      </c>
      <c r="D222" s="107">
        <v>0</v>
      </c>
      <c r="E222" s="112">
        <v>1.66</v>
      </c>
      <c r="F222" s="106">
        <v>4</v>
      </c>
      <c r="G222" s="107">
        <v>1.5</v>
      </c>
      <c r="H222" s="106">
        <v>4</v>
      </c>
      <c r="I222" s="113">
        <v>1.67</v>
      </c>
      <c r="J222" s="106">
        <v>4</v>
      </c>
      <c r="K222" s="113">
        <v>1.67</v>
      </c>
      <c r="L222" s="106">
        <v>8</v>
      </c>
      <c r="M222" s="106">
        <v>1.4</v>
      </c>
      <c r="N222" s="106">
        <v>8</v>
      </c>
      <c r="O222" s="106">
        <v>1.4</v>
      </c>
      <c r="P222" s="111">
        <v>100</v>
      </c>
      <c r="Q222" s="104">
        <v>2</v>
      </c>
      <c r="R222" s="104">
        <v>0</v>
      </c>
      <c r="S222" s="104">
        <v>0</v>
      </c>
      <c r="T222" s="104"/>
      <c r="U222" s="104"/>
      <c r="V222" s="104"/>
      <c r="W222" s="104"/>
      <c r="X222" s="104"/>
      <c r="Y222" s="104"/>
      <c r="Z222" s="104"/>
      <c r="AA222" s="104"/>
      <c r="AB222">
        <v>2</v>
      </c>
    </row>
    <row r="223" spans="1:28" x14ac:dyDescent="0.3">
      <c r="A223" s="105" t="s">
        <v>182</v>
      </c>
      <c r="B223" s="106">
        <v>28</v>
      </c>
      <c r="C223" s="107">
        <v>1.86</v>
      </c>
      <c r="D223" s="107">
        <v>0</v>
      </c>
      <c r="E223" s="107">
        <v>1.86</v>
      </c>
      <c r="F223" s="106">
        <v>4</v>
      </c>
      <c r="G223" s="107">
        <v>1.5</v>
      </c>
      <c r="H223" s="106">
        <v>4</v>
      </c>
      <c r="I223" s="114">
        <v>1.86</v>
      </c>
      <c r="J223" s="106">
        <v>4</v>
      </c>
      <c r="K223" s="114">
        <v>1.86</v>
      </c>
      <c r="L223" s="106">
        <v>8</v>
      </c>
      <c r="M223" s="106">
        <v>1.4</v>
      </c>
      <c r="N223" s="106">
        <v>8</v>
      </c>
      <c r="O223" s="106">
        <v>1.4</v>
      </c>
      <c r="P223" s="111">
        <v>100</v>
      </c>
      <c r="Q223" s="104">
        <v>2</v>
      </c>
      <c r="R223" s="104">
        <v>0</v>
      </c>
      <c r="S223" s="104">
        <v>0</v>
      </c>
      <c r="T223" s="104"/>
      <c r="U223" s="104"/>
      <c r="V223" s="104"/>
      <c r="W223" s="104"/>
      <c r="X223" s="104"/>
      <c r="Y223" s="104"/>
      <c r="Z223" s="104"/>
      <c r="AA223" s="104"/>
      <c r="AB223">
        <v>2</v>
      </c>
    </row>
    <row r="224" spans="1:28" x14ac:dyDescent="0.3">
      <c r="A224" s="105" t="s">
        <v>20</v>
      </c>
      <c r="B224" s="106">
        <v>32</v>
      </c>
      <c r="C224" s="112">
        <v>1.66</v>
      </c>
      <c r="D224" s="107">
        <v>4</v>
      </c>
      <c r="E224" s="112">
        <v>1.66</v>
      </c>
      <c r="F224" s="106">
        <v>4</v>
      </c>
      <c r="G224" s="107">
        <v>1.83</v>
      </c>
      <c r="H224" s="106">
        <v>4</v>
      </c>
      <c r="I224" s="113">
        <v>1.67</v>
      </c>
      <c r="J224" s="106">
        <v>4</v>
      </c>
      <c r="K224" s="113">
        <v>1.67</v>
      </c>
      <c r="L224" s="106">
        <v>8</v>
      </c>
      <c r="M224" s="106">
        <v>1.73</v>
      </c>
      <c r="N224" s="106">
        <v>8</v>
      </c>
      <c r="O224" s="106">
        <v>1.73</v>
      </c>
      <c r="P224" s="111">
        <v>110</v>
      </c>
      <c r="Q224" s="104">
        <v>0</v>
      </c>
      <c r="R224" s="104">
        <v>2</v>
      </c>
      <c r="S224" s="104">
        <v>0</v>
      </c>
      <c r="T224" s="104"/>
      <c r="U224" s="104"/>
      <c r="V224" s="104"/>
      <c r="W224" s="104"/>
      <c r="X224" s="104"/>
      <c r="Y224" s="104"/>
      <c r="Z224" s="104"/>
      <c r="AA224" s="104"/>
      <c r="AB224">
        <v>2</v>
      </c>
    </row>
    <row r="225" spans="1:28" x14ac:dyDescent="0.3">
      <c r="A225" s="105" t="s">
        <v>183</v>
      </c>
      <c r="B225" s="106">
        <v>32</v>
      </c>
      <c r="C225" s="107">
        <v>1.86</v>
      </c>
      <c r="D225" s="107">
        <v>4</v>
      </c>
      <c r="E225" s="107">
        <v>1.86</v>
      </c>
      <c r="F225" s="106">
        <v>4</v>
      </c>
      <c r="G225" s="107">
        <v>1.83</v>
      </c>
      <c r="H225" s="106">
        <v>4</v>
      </c>
      <c r="I225" s="113">
        <v>1.67</v>
      </c>
      <c r="J225" s="106">
        <v>4</v>
      </c>
      <c r="K225" s="113">
        <v>1.67</v>
      </c>
      <c r="L225" s="106">
        <v>8</v>
      </c>
      <c r="M225" s="106">
        <v>1.73</v>
      </c>
      <c r="N225" s="106">
        <v>8</v>
      </c>
      <c r="O225" s="106">
        <v>1.73</v>
      </c>
      <c r="P225" s="111">
        <v>110</v>
      </c>
      <c r="Q225" s="104">
        <v>0</v>
      </c>
      <c r="R225" s="104">
        <v>2</v>
      </c>
      <c r="S225" s="104">
        <v>0</v>
      </c>
      <c r="T225" s="104"/>
      <c r="U225" s="104"/>
      <c r="V225" s="104"/>
      <c r="W225" s="104"/>
      <c r="X225" s="104"/>
      <c r="Y225" s="104"/>
      <c r="Z225" s="104"/>
      <c r="AA225" s="104"/>
      <c r="AB225">
        <v>2</v>
      </c>
    </row>
    <row r="226" spans="1:28" x14ac:dyDescent="0.3">
      <c r="A226" s="105" t="s">
        <v>21</v>
      </c>
      <c r="B226" s="106">
        <v>26</v>
      </c>
      <c r="C226" s="112">
        <v>1.66</v>
      </c>
      <c r="D226" s="107">
        <v>0</v>
      </c>
      <c r="E226" s="112">
        <v>1.66</v>
      </c>
      <c r="F226" s="106">
        <v>4</v>
      </c>
      <c r="G226" s="112">
        <v>1.39</v>
      </c>
      <c r="H226" s="106">
        <v>4</v>
      </c>
      <c r="I226" s="113">
        <v>1.67</v>
      </c>
      <c r="J226" s="106">
        <v>4</v>
      </c>
      <c r="K226" s="113">
        <v>1.67</v>
      </c>
      <c r="L226" s="106">
        <v>8</v>
      </c>
      <c r="M226" s="112">
        <v>1.29</v>
      </c>
      <c r="N226" s="106">
        <v>8</v>
      </c>
      <c r="O226" s="112">
        <v>1.29</v>
      </c>
      <c r="P226" s="111">
        <v>100</v>
      </c>
      <c r="Q226" s="104">
        <v>0</v>
      </c>
      <c r="R226" s="104">
        <v>0</v>
      </c>
      <c r="S226" s="104">
        <v>0</v>
      </c>
      <c r="T226" s="104"/>
      <c r="U226" s="104"/>
      <c r="V226" s="104"/>
      <c r="W226" s="104"/>
      <c r="X226" s="104"/>
      <c r="Y226" s="104"/>
      <c r="Z226" s="104"/>
      <c r="AA226" s="104"/>
      <c r="AB226">
        <v>2</v>
      </c>
    </row>
    <row r="227" spans="1:28" x14ac:dyDescent="0.3">
      <c r="A227" s="105" t="s">
        <v>22</v>
      </c>
      <c r="B227" s="106">
        <v>26</v>
      </c>
      <c r="C227" s="112">
        <v>1.92</v>
      </c>
      <c r="D227" s="107">
        <v>0</v>
      </c>
      <c r="E227" s="112">
        <v>1.92</v>
      </c>
      <c r="F227" s="106">
        <v>4</v>
      </c>
      <c r="G227" s="112">
        <v>1.39</v>
      </c>
      <c r="H227" s="106">
        <v>4</v>
      </c>
      <c r="I227" s="113">
        <v>1.93</v>
      </c>
      <c r="J227" s="106">
        <v>4</v>
      </c>
      <c r="K227" s="113">
        <v>1.93</v>
      </c>
      <c r="L227" s="106">
        <v>8</v>
      </c>
      <c r="M227" s="112">
        <v>1.29</v>
      </c>
      <c r="N227" s="106">
        <v>8</v>
      </c>
      <c r="O227" s="112">
        <v>1.29</v>
      </c>
      <c r="P227" s="111">
        <v>100</v>
      </c>
      <c r="Q227" s="104">
        <v>0</v>
      </c>
      <c r="R227" s="104">
        <v>0</v>
      </c>
      <c r="S227" s="104">
        <v>0</v>
      </c>
      <c r="T227" s="104"/>
      <c r="U227" s="104"/>
      <c r="V227" s="104"/>
      <c r="W227" s="104"/>
      <c r="X227" s="104"/>
      <c r="Y227" s="104"/>
      <c r="Z227" s="104"/>
      <c r="AA227" s="104"/>
      <c r="AB227">
        <v>2</v>
      </c>
    </row>
    <row r="228" spans="1:28" x14ac:dyDescent="0.3">
      <c r="A228" s="105" t="s">
        <v>23</v>
      </c>
      <c r="B228" s="106">
        <v>26</v>
      </c>
      <c r="C228" s="112">
        <v>2.12</v>
      </c>
      <c r="D228" s="107">
        <v>0</v>
      </c>
      <c r="E228" s="112">
        <v>2.12</v>
      </c>
      <c r="F228" s="106">
        <v>4</v>
      </c>
      <c r="G228" s="112">
        <v>1.39</v>
      </c>
      <c r="H228" s="106">
        <v>4</v>
      </c>
      <c r="I228" s="113">
        <v>2.13</v>
      </c>
      <c r="J228" s="106">
        <v>4</v>
      </c>
      <c r="K228" s="113">
        <v>2.13</v>
      </c>
      <c r="L228" s="106">
        <v>8</v>
      </c>
      <c r="M228" s="112">
        <v>1.29</v>
      </c>
      <c r="N228" s="106">
        <v>8</v>
      </c>
      <c r="O228" s="112">
        <v>1.29</v>
      </c>
      <c r="P228" s="111">
        <v>100</v>
      </c>
      <c r="Q228" s="104">
        <v>0</v>
      </c>
      <c r="R228" s="104">
        <v>0</v>
      </c>
      <c r="S228" s="104">
        <v>0</v>
      </c>
      <c r="T228" s="104"/>
      <c r="U228" s="104"/>
      <c r="V228" s="104"/>
      <c r="W228" s="104"/>
      <c r="X228" s="104"/>
      <c r="Y228" s="104"/>
      <c r="Z228" s="104"/>
      <c r="AA228" s="104"/>
      <c r="AB228">
        <v>2</v>
      </c>
    </row>
    <row r="229" spans="1:28" x14ac:dyDescent="0.3">
      <c r="A229" s="105" t="s">
        <v>24</v>
      </c>
      <c r="B229" s="106">
        <v>30</v>
      </c>
      <c r="C229" s="112">
        <v>1.66</v>
      </c>
      <c r="D229" s="107">
        <v>4</v>
      </c>
      <c r="E229" s="112">
        <v>1.66</v>
      </c>
      <c r="F229" s="106">
        <v>4</v>
      </c>
      <c r="G229" s="112">
        <v>1.72</v>
      </c>
      <c r="H229" s="106">
        <v>4</v>
      </c>
      <c r="I229" s="113">
        <v>1.67</v>
      </c>
      <c r="J229" s="106">
        <v>4</v>
      </c>
      <c r="K229" s="113">
        <v>1.67</v>
      </c>
      <c r="L229" s="106">
        <v>8</v>
      </c>
      <c r="M229" s="112">
        <v>1.62</v>
      </c>
      <c r="N229" s="106">
        <v>8</v>
      </c>
      <c r="O229" s="112">
        <v>1.62</v>
      </c>
      <c r="P229" s="111">
        <v>110</v>
      </c>
      <c r="Q229" s="104">
        <v>0</v>
      </c>
      <c r="R229" s="104">
        <v>0</v>
      </c>
      <c r="S229" s="104">
        <v>0</v>
      </c>
      <c r="T229" s="104"/>
      <c r="U229" s="104"/>
      <c r="V229" s="104"/>
      <c r="W229" s="104"/>
      <c r="X229" s="104"/>
      <c r="Y229" s="104"/>
      <c r="Z229" s="104"/>
      <c r="AA229" s="104"/>
      <c r="AB229">
        <v>2</v>
      </c>
    </row>
    <row r="230" spans="1:28" x14ac:dyDescent="0.3">
      <c r="A230" s="105" t="s">
        <v>25</v>
      </c>
      <c r="B230" s="106">
        <v>30</v>
      </c>
      <c r="C230" s="112">
        <v>1.92</v>
      </c>
      <c r="D230" s="107">
        <v>4</v>
      </c>
      <c r="E230" s="112">
        <v>1.92</v>
      </c>
      <c r="F230" s="106">
        <v>4</v>
      </c>
      <c r="G230" s="112">
        <v>1.72</v>
      </c>
      <c r="H230" s="106">
        <v>4</v>
      </c>
      <c r="I230" s="113">
        <v>1.93</v>
      </c>
      <c r="J230" s="106">
        <v>4</v>
      </c>
      <c r="K230" s="113">
        <v>1.93</v>
      </c>
      <c r="L230" s="106">
        <v>8</v>
      </c>
      <c r="M230" s="112">
        <v>1.62</v>
      </c>
      <c r="N230" s="106">
        <v>8</v>
      </c>
      <c r="O230" s="112">
        <v>1.62</v>
      </c>
      <c r="P230" s="111">
        <v>110</v>
      </c>
      <c r="Q230" s="104">
        <v>0</v>
      </c>
      <c r="R230" s="104">
        <v>0</v>
      </c>
      <c r="S230" s="104">
        <v>0</v>
      </c>
      <c r="T230" s="104"/>
      <c r="U230" s="104"/>
      <c r="V230" s="104"/>
      <c r="W230" s="104"/>
      <c r="X230" s="104"/>
      <c r="Y230" s="104"/>
      <c r="Z230" s="104"/>
      <c r="AA230" s="104"/>
      <c r="AB230">
        <v>2</v>
      </c>
    </row>
    <row r="231" spans="1:28" x14ac:dyDescent="0.3">
      <c r="A231" s="105" t="s">
        <v>26</v>
      </c>
      <c r="B231" s="106">
        <v>30</v>
      </c>
      <c r="C231" s="112">
        <v>2.12</v>
      </c>
      <c r="D231" s="107">
        <v>4</v>
      </c>
      <c r="E231" s="112">
        <v>2.12</v>
      </c>
      <c r="F231" s="106">
        <v>4</v>
      </c>
      <c r="G231" s="112">
        <v>1.72</v>
      </c>
      <c r="H231" s="106">
        <v>4</v>
      </c>
      <c r="I231" s="113">
        <v>2.13</v>
      </c>
      <c r="J231" s="106">
        <v>4</v>
      </c>
      <c r="K231" s="113">
        <v>2.13</v>
      </c>
      <c r="L231" s="106">
        <v>8</v>
      </c>
      <c r="M231" s="112">
        <v>1.62</v>
      </c>
      <c r="N231" s="106">
        <v>8</v>
      </c>
      <c r="O231" s="112">
        <v>1.62</v>
      </c>
      <c r="P231" s="111">
        <v>110</v>
      </c>
      <c r="Q231" s="104">
        <v>0</v>
      </c>
      <c r="R231" s="104">
        <v>0</v>
      </c>
      <c r="S231" s="104">
        <v>0</v>
      </c>
      <c r="T231" s="104"/>
      <c r="U231" s="104"/>
      <c r="V231" s="104"/>
      <c r="W231" s="104"/>
      <c r="X231" s="104"/>
      <c r="Y231" s="104"/>
      <c r="Z231" s="104"/>
      <c r="AA231" s="104"/>
      <c r="AB231">
        <v>2</v>
      </c>
    </row>
    <row r="232" spans="1:28" x14ac:dyDescent="0.3">
      <c r="A232" s="105" t="s">
        <v>220</v>
      </c>
      <c r="B232" s="106">
        <v>32</v>
      </c>
      <c r="C232" s="112">
        <v>1.4</v>
      </c>
      <c r="D232" s="107">
        <v>4</v>
      </c>
      <c r="E232" s="112">
        <v>1.4</v>
      </c>
      <c r="F232" s="106">
        <v>6</v>
      </c>
      <c r="G232" s="112">
        <v>1.72</v>
      </c>
      <c r="H232" s="106">
        <v>4</v>
      </c>
      <c r="I232" s="113">
        <v>1.41</v>
      </c>
      <c r="J232" s="106">
        <v>4</v>
      </c>
      <c r="K232" s="113">
        <v>1.41</v>
      </c>
      <c r="L232" s="106">
        <v>4</v>
      </c>
      <c r="M232" s="112">
        <v>1.62</v>
      </c>
      <c r="N232" s="106">
        <v>4</v>
      </c>
      <c r="O232" s="112">
        <v>1.62</v>
      </c>
      <c r="P232" s="111">
        <v>150</v>
      </c>
      <c r="Q232" s="104"/>
      <c r="R232" s="104"/>
      <c r="S232" s="104"/>
      <c r="T232" s="104">
        <v>16</v>
      </c>
      <c r="U232" s="104">
        <v>1.9</v>
      </c>
      <c r="V232" s="104">
        <v>2</v>
      </c>
      <c r="W232" s="104">
        <v>1.9</v>
      </c>
      <c r="X232" s="104">
        <v>2</v>
      </c>
      <c r="Y232" s="104">
        <v>1.91</v>
      </c>
      <c r="Z232" s="104">
        <v>2</v>
      </c>
      <c r="AA232" s="104">
        <v>1.91</v>
      </c>
      <c r="AB232">
        <v>3</v>
      </c>
    </row>
    <row r="233" spans="1:28" x14ac:dyDescent="0.3">
      <c r="A233" s="105" t="s">
        <v>221</v>
      </c>
      <c r="B233" s="106">
        <v>16</v>
      </c>
      <c r="C233" s="112">
        <v>1.4</v>
      </c>
      <c r="D233" s="107">
        <v>2</v>
      </c>
      <c r="E233" s="112">
        <v>1.4</v>
      </c>
      <c r="F233" s="106">
        <v>6</v>
      </c>
      <c r="G233" s="112">
        <v>1.72</v>
      </c>
      <c r="H233" s="106">
        <v>2</v>
      </c>
      <c r="I233" s="113">
        <v>1.41</v>
      </c>
      <c r="J233" s="106">
        <v>2</v>
      </c>
      <c r="K233" s="113">
        <v>1.41</v>
      </c>
      <c r="L233" s="106">
        <v>5</v>
      </c>
      <c r="M233" s="112">
        <v>1.62</v>
      </c>
      <c r="N233" s="106">
        <v>5</v>
      </c>
      <c r="O233" s="112">
        <v>1.62</v>
      </c>
      <c r="P233" s="111">
        <v>150</v>
      </c>
      <c r="Q233" s="104"/>
      <c r="R233" s="104"/>
      <c r="S233" s="104"/>
      <c r="T233" s="104">
        <v>32</v>
      </c>
      <c r="U233" s="104">
        <v>1.9</v>
      </c>
      <c r="V233" s="104">
        <v>4</v>
      </c>
      <c r="W233" s="104">
        <v>1.9</v>
      </c>
      <c r="X233" s="104">
        <v>4</v>
      </c>
      <c r="Y233" s="104">
        <v>1.91</v>
      </c>
      <c r="Z233" s="104">
        <v>4</v>
      </c>
      <c r="AA233" s="104">
        <v>1.91</v>
      </c>
      <c r="AB233">
        <v>3</v>
      </c>
    </row>
    <row r="234" spans="1:28" x14ac:dyDescent="0.3">
      <c r="A234" s="105" t="s">
        <v>222</v>
      </c>
      <c r="B234" s="106">
        <v>48</v>
      </c>
      <c r="C234" s="112">
        <v>1.9</v>
      </c>
      <c r="D234" s="107">
        <v>6</v>
      </c>
      <c r="E234" s="112">
        <v>1.9</v>
      </c>
      <c r="F234" s="106">
        <v>6</v>
      </c>
      <c r="G234" s="112">
        <v>1.72</v>
      </c>
      <c r="H234" s="106">
        <v>6</v>
      </c>
      <c r="I234" s="113">
        <v>1.91</v>
      </c>
      <c r="J234" s="106">
        <v>6</v>
      </c>
      <c r="K234" s="113">
        <v>1.91</v>
      </c>
      <c r="L234" s="106">
        <v>6</v>
      </c>
      <c r="M234" s="112">
        <v>1.62</v>
      </c>
      <c r="N234" s="106">
        <v>6</v>
      </c>
      <c r="O234" s="112">
        <v>1.62</v>
      </c>
      <c r="P234" s="111">
        <v>150</v>
      </c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>
        <v>3</v>
      </c>
    </row>
    <row r="235" spans="1:28" x14ac:dyDescent="0.3">
      <c r="A235" s="105" t="s">
        <v>27</v>
      </c>
      <c r="B235" s="106">
        <v>26</v>
      </c>
      <c r="C235" s="107">
        <v>1.66</v>
      </c>
      <c r="D235" s="107">
        <v>0</v>
      </c>
      <c r="E235" s="107">
        <v>1.66</v>
      </c>
      <c r="F235" s="106">
        <v>4</v>
      </c>
      <c r="G235" s="107">
        <v>1.39</v>
      </c>
      <c r="H235" s="106">
        <v>4</v>
      </c>
      <c r="I235" s="114">
        <v>1.67</v>
      </c>
      <c r="J235" s="106">
        <v>4</v>
      </c>
      <c r="K235" s="114">
        <v>1.67</v>
      </c>
      <c r="L235" s="106">
        <v>8</v>
      </c>
      <c r="M235" s="106">
        <v>1.29</v>
      </c>
      <c r="N235" s="106">
        <v>8</v>
      </c>
      <c r="O235" s="106">
        <v>1.29</v>
      </c>
      <c r="P235" s="111">
        <v>100</v>
      </c>
      <c r="Q235" s="104">
        <v>0</v>
      </c>
      <c r="R235" s="104">
        <v>0</v>
      </c>
      <c r="S235" s="104">
        <v>0</v>
      </c>
      <c r="T235" s="104"/>
      <c r="U235" s="104"/>
      <c r="V235" s="104"/>
      <c r="W235" s="104"/>
      <c r="X235" s="104"/>
      <c r="Y235" s="104"/>
      <c r="Z235" s="104"/>
      <c r="AA235" s="104"/>
      <c r="AB235">
        <v>2</v>
      </c>
    </row>
    <row r="236" spans="1:28" x14ac:dyDescent="0.3">
      <c r="A236" s="105" t="s">
        <v>28</v>
      </c>
      <c r="B236" s="106">
        <v>26</v>
      </c>
      <c r="C236" s="107">
        <v>1.92</v>
      </c>
      <c r="D236" s="107">
        <v>0</v>
      </c>
      <c r="E236" s="107">
        <v>1.92</v>
      </c>
      <c r="F236" s="106">
        <v>4</v>
      </c>
      <c r="G236" s="107">
        <v>1.39</v>
      </c>
      <c r="H236" s="106">
        <v>4</v>
      </c>
      <c r="I236" s="113">
        <v>1.93</v>
      </c>
      <c r="J236" s="106">
        <v>4</v>
      </c>
      <c r="K236" s="113">
        <v>1.93</v>
      </c>
      <c r="L236" s="106">
        <v>8</v>
      </c>
      <c r="M236" s="106">
        <v>1.29</v>
      </c>
      <c r="N236" s="106">
        <v>8</v>
      </c>
      <c r="O236" s="106">
        <v>1.29</v>
      </c>
      <c r="P236" s="111">
        <v>100</v>
      </c>
      <c r="Q236" s="104">
        <v>0</v>
      </c>
      <c r="R236" s="104">
        <v>0</v>
      </c>
      <c r="S236" s="104">
        <v>0</v>
      </c>
      <c r="T236" s="104"/>
      <c r="U236" s="104"/>
      <c r="V236" s="104"/>
      <c r="W236" s="104"/>
      <c r="X236" s="104"/>
      <c r="Y236" s="104"/>
      <c r="Z236" s="104"/>
      <c r="AA236" s="104"/>
      <c r="AB236">
        <v>2</v>
      </c>
    </row>
    <row r="237" spans="1:28" x14ac:dyDescent="0.3">
      <c r="A237" s="105" t="s">
        <v>29</v>
      </c>
      <c r="B237" s="106">
        <v>26</v>
      </c>
      <c r="C237" s="107">
        <v>2.12</v>
      </c>
      <c r="D237" s="107">
        <v>0</v>
      </c>
      <c r="E237" s="107">
        <v>2.12</v>
      </c>
      <c r="F237" s="106">
        <v>4</v>
      </c>
      <c r="G237" s="107">
        <v>1.39</v>
      </c>
      <c r="H237" s="106">
        <v>4</v>
      </c>
      <c r="I237" s="114">
        <v>2.13</v>
      </c>
      <c r="J237" s="106">
        <v>4</v>
      </c>
      <c r="K237" s="114">
        <v>2.13</v>
      </c>
      <c r="L237" s="106">
        <v>8</v>
      </c>
      <c r="M237" s="106">
        <v>1.29</v>
      </c>
      <c r="N237" s="106">
        <v>8</v>
      </c>
      <c r="O237" s="106">
        <v>1.29</v>
      </c>
      <c r="P237" s="111">
        <v>100</v>
      </c>
      <c r="Q237" s="104">
        <v>0</v>
      </c>
      <c r="R237" s="104">
        <v>0</v>
      </c>
      <c r="S237" s="104">
        <v>0</v>
      </c>
      <c r="T237" s="104"/>
      <c r="U237" s="104"/>
      <c r="V237" s="104"/>
      <c r="W237" s="104"/>
      <c r="X237" s="104"/>
      <c r="Y237" s="104"/>
      <c r="Z237" s="104"/>
      <c r="AA237" s="104"/>
      <c r="AB237">
        <v>2</v>
      </c>
    </row>
    <row r="238" spans="1:28" x14ac:dyDescent="0.3">
      <c r="A238" s="105" t="s">
        <v>31</v>
      </c>
      <c r="B238" s="106">
        <v>30</v>
      </c>
      <c r="C238" s="107">
        <v>1.66</v>
      </c>
      <c r="D238" s="107">
        <v>4</v>
      </c>
      <c r="E238" s="107">
        <v>1.66</v>
      </c>
      <c r="F238" s="106">
        <v>4</v>
      </c>
      <c r="G238" s="107">
        <v>1.72</v>
      </c>
      <c r="H238" s="106">
        <v>4</v>
      </c>
      <c r="I238" s="114">
        <v>1.67</v>
      </c>
      <c r="J238" s="106">
        <v>4</v>
      </c>
      <c r="K238" s="114">
        <v>1.67</v>
      </c>
      <c r="L238" s="106">
        <v>8</v>
      </c>
      <c r="M238" s="106">
        <v>1.62</v>
      </c>
      <c r="N238" s="106">
        <v>8</v>
      </c>
      <c r="O238" s="106">
        <v>1.62</v>
      </c>
      <c r="P238" s="111">
        <v>110</v>
      </c>
      <c r="Q238" s="104">
        <v>0</v>
      </c>
      <c r="R238" s="104">
        <v>0</v>
      </c>
      <c r="S238" s="104">
        <v>0</v>
      </c>
      <c r="T238" s="104"/>
      <c r="U238" s="104"/>
      <c r="V238" s="104"/>
      <c r="W238" s="104"/>
      <c r="X238" s="104"/>
      <c r="Y238" s="104"/>
      <c r="Z238" s="104"/>
      <c r="AA238" s="104"/>
      <c r="AB238">
        <v>2</v>
      </c>
    </row>
    <row r="239" spans="1:28" x14ac:dyDescent="0.3">
      <c r="A239" s="105" t="s">
        <v>36</v>
      </c>
      <c r="B239" s="106">
        <v>30</v>
      </c>
      <c r="C239" s="107">
        <v>1.92</v>
      </c>
      <c r="D239" s="107">
        <v>4</v>
      </c>
      <c r="E239" s="107">
        <v>1.92</v>
      </c>
      <c r="F239" s="106">
        <v>4</v>
      </c>
      <c r="G239" s="107">
        <v>1.72</v>
      </c>
      <c r="H239" s="106">
        <v>4</v>
      </c>
      <c r="I239" s="113">
        <v>1.93</v>
      </c>
      <c r="J239" s="106">
        <v>4</v>
      </c>
      <c r="K239" s="113">
        <v>1.93</v>
      </c>
      <c r="L239" s="106">
        <v>8</v>
      </c>
      <c r="M239" s="106">
        <v>1.62</v>
      </c>
      <c r="N239" s="106">
        <v>8</v>
      </c>
      <c r="O239" s="106">
        <v>1.62</v>
      </c>
      <c r="P239" s="111">
        <v>110</v>
      </c>
      <c r="Q239" s="104">
        <v>0</v>
      </c>
      <c r="R239" s="104">
        <v>0</v>
      </c>
      <c r="S239" s="104">
        <v>0</v>
      </c>
      <c r="T239" s="104"/>
      <c r="U239" s="104"/>
      <c r="V239" s="104"/>
      <c r="W239" s="104"/>
      <c r="X239" s="104"/>
      <c r="Y239" s="104"/>
      <c r="Z239" s="104"/>
      <c r="AA239" s="104"/>
      <c r="AB239">
        <v>2</v>
      </c>
    </row>
    <row r="240" spans="1:28" x14ac:dyDescent="0.3">
      <c r="A240" s="105" t="s">
        <v>37</v>
      </c>
      <c r="B240" s="106">
        <v>30</v>
      </c>
      <c r="C240" s="107">
        <v>2.12</v>
      </c>
      <c r="D240" s="107">
        <v>4</v>
      </c>
      <c r="E240" s="107">
        <v>2.12</v>
      </c>
      <c r="F240" s="106">
        <v>4</v>
      </c>
      <c r="G240" s="107">
        <v>1.72</v>
      </c>
      <c r="H240" s="106">
        <v>4</v>
      </c>
      <c r="I240" s="114">
        <v>2.13</v>
      </c>
      <c r="J240" s="106">
        <v>4</v>
      </c>
      <c r="K240" s="114">
        <v>2.13</v>
      </c>
      <c r="L240" s="106">
        <v>8</v>
      </c>
      <c r="M240" s="106">
        <v>1.62</v>
      </c>
      <c r="N240" s="106">
        <v>8</v>
      </c>
      <c r="O240" s="106">
        <v>1.62</v>
      </c>
      <c r="P240" s="111">
        <v>110</v>
      </c>
      <c r="Q240" s="104">
        <v>0</v>
      </c>
      <c r="R240" s="104">
        <v>0</v>
      </c>
      <c r="S240" s="104">
        <v>0</v>
      </c>
      <c r="T240" s="104"/>
      <c r="U240" s="104"/>
      <c r="V240" s="104"/>
      <c r="W240" s="104"/>
      <c r="X240" s="104"/>
      <c r="Y240" s="104"/>
      <c r="Z240" s="104"/>
      <c r="AA240" s="104"/>
      <c r="AB240">
        <v>2</v>
      </c>
    </row>
    <row r="241" spans="1:28" x14ac:dyDescent="0.3">
      <c r="A241" s="105" t="s">
        <v>257</v>
      </c>
      <c r="B241" s="106">
        <v>32</v>
      </c>
      <c r="C241" s="112">
        <v>1.4</v>
      </c>
      <c r="D241" s="107">
        <v>4</v>
      </c>
      <c r="E241" s="112">
        <v>1.4</v>
      </c>
      <c r="F241" s="106">
        <v>6</v>
      </c>
      <c r="G241" s="112">
        <v>1.72</v>
      </c>
      <c r="H241" s="106">
        <v>4</v>
      </c>
      <c r="I241" s="113">
        <v>1.41</v>
      </c>
      <c r="J241" s="106">
        <v>4</v>
      </c>
      <c r="K241" s="113">
        <v>1.41</v>
      </c>
      <c r="L241" s="106">
        <v>4</v>
      </c>
      <c r="M241" s="112">
        <v>1.62</v>
      </c>
      <c r="N241" s="106">
        <v>4</v>
      </c>
      <c r="O241" s="112">
        <v>1.62</v>
      </c>
      <c r="P241" s="111">
        <v>150</v>
      </c>
      <c r="Q241" s="104"/>
      <c r="R241" s="104"/>
      <c r="S241" s="104"/>
      <c r="T241" s="104">
        <v>16</v>
      </c>
      <c r="U241" s="104">
        <v>1.9</v>
      </c>
      <c r="V241" s="104">
        <v>2</v>
      </c>
      <c r="W241" s="104">
        <v>1.9</v>
      </c>
      <c r="X241" s="104">
        <v>2</v>
      </c>
      <c r="Y241" s="104">
        <v>1.91</v>
      </c>
      <c r="Z241" s="104">
        <v>2</v>
      </c>
      <c r="AA241" s="104">
        <v>1.91</v>
      </c>
      <c r="AB241">
        <v>3</v>
      </c>
    </row>
    <row r="242" spans="1:28" x14ac:dyDescent="0.3">
      <c r="A242" s="105" t="s">
        <v>258</v>
      </c>
      <c r="B242" s="106">
        <v>16</v>
      </c>
      <c r="C242" s="112">
        <v>1.4</v>
      </c>
      <c r="D242" s="107">
        <v>2</v>
      </c>
      <c r="E242" s="112">
        <v>1.4</v>
      </c>
      <c r="F242" s="106">
        <v>6</v>
      </c>
      <c r="G242" s="112">
        <v>1.72</v>
      </c>
      <c r="H242" s="106">
        <v>2</v>
      </c>
      <c r="I242" s="113">
        <v>1.41</v>
      </c>
      <c r="J242" s="106">
        <v>2</v>
      </c>
      <c r="K242" s="113">
        <v>1.41</v>
      </c>
      <c r="L242" s="106">
        <v>5</v>
      </c>
      <c r="M242" s="112">
        <v>1.62</v>
      </c>
      <c r="N242" s="106">
        <v>5</v>
      </c>
      <c r="O242" s="112">
        <v>1.62</v>
      </c>
      <c r="P242" s="111">
        <v>150</v>
      </c>
      <c r="Q242" s="104"/>
      <c r="R242" s="104"/>
      <c r="S242" s="104"/>
      <c r="T242" s="104">
        <v>32</v>
      </c>
      <c r="U242" s="104">
        <v>1.9</v>
      </c>
      <c r="V242" s="104">
        <v>4</v>
      </c>
      <c r="W242" s="104">
        <v>1.9</v>
      </c>
      <c r="X242" s="104">
        <v>4</v>
      </c>
      <c r="Y242" s="104">
        <v>1.91</v>
      </c>
      <c r="Z242" s="104">
        <v>4</v>
      </c>
      <c r="AA242" s="104">
        <v>1.91</v>
      </c>
      <c r="AB242">
        <v>3</v>
      </c>
    </row>
    <row r="243" spans="1:28" x14ac:dyDescent="0.3">
      <c r="A243" s="105" t="s">
        <v>259</v>
      </c>
      <c r="B243" s="106">
        <v>48</v>
      </c>
      <c r="C243" s="112">
        <v>1.9</v>
      </c>
      <c r="D243" s="107">
        <v>6</v>
      </c>
      <c r="E243" s="112">
        <v>1.9</v>
      </c>
      <c r="F243" s="106">
        <v>6</v>
      </c>
      <c r="G243" s="112">
        <v>1.72</v>
      </c>
      <c r="H243" s="106">
        <v>6</v>
      </c>
      <c r="I243" s="113">
        <v>1.91</v>
      </c>
      <c r="J243" s="106">
        <v>6</v>
      </c>
      <c r="K243" s="113">
        <v>1.91</v>
      </c>
      <c r="L243" s="106">
        <v>6</v>
      </c>
      <c r="M243" s="112">
        <v>1.62</v>
      </c>
      <c r="N243" s="106">
        <v>6</v>
      </c>
      <c r="O243" s="112">
        <v>1.62</v>
      </c>
      <c r="P243" s="111">
        <v>150</v>
      </c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>
        <v>3</v>
      </c>
    </row>
  </sheetData>
  <mergeCells count="29">
    <mergeCell ref="A182:A183"/>
    <mergeCell ref="B3:C3"/>
    <mergeCell ref="A87:A88"/>
    <mergeCell ref="B87:B88"/>
    <mergeCell ref="C87:C88"/>
    <mergeCell ref="H141:I141"/>
    <mergeCell ref="F88:G88"/>
    <mergeCell ref="A141:A142"/>
    <mergeCell ref="B133:C133"/>
    <mergeCell ref="D133:E133"/>
    <mergeCell ref="F133:G133"/>
    <mergeCell ref="H133:I133"/>
    <mergeCell ref="A133:A134"/>
    <mergeCell ref="B141:C141"/>
    <mergeCell ref="D141:E141"/>
    <mergeCell ref="F141:G141"/>
    <mergeCell ref="D88:E88"/>
    <mergeCell ref="M3:N3"/>
    <mergeCell ref="AM141:AO141"/>
    <mergeCell ref="AK141:AL141"/>
    <mergeCell ref="J141:K141"/>
    <mergeCell ref="L141:M141"/>
    <mergeCell ref="AC141:AD141"/>
    <mergeCell ref="N141:O141"/>
    <mergeCell ref="P141:Q141"/>
    <mergeCell ref="AA141:AB141"/>
    <mergeCell ref="AE141:AF141"/>
    <mergeCell ref="AG141:AH141"/>
    <mergeCell ref="AI141:AJ141"/>
  </mergeCells>
  <phoneticPr fontId="28" type="noConversion"/>
  <dataValidations count="3">
    <dataValidation type="list" allowBlank="1" showInputMessage="1" showErrorMessage="1" sqref="W80" xr:uid="{F052BC45-775A-4513-9374-107C91C53591}">
      <formula1>CCCMT</formula1>
    </dataValidation>
    <dataValidation type="list" allowBlank="1" showInputMessage="1" showErrorMessage="1" sqref="W82" xr:uid="{C3C57C7D-955D-459B-AEC0-592F727BC27D}">
      <formula1>INDIRECT($W$80)</formula1>
    </dataValidation>
    <dataValidation type="list" allowBlank="1" showInputMessage="1" showErrorMessage="1" sqref="R79" xr:uid="{B6887D66-0486-4D45-87D8-F8605542E604}">
      <formula1>IF(W80="ламель125",$N$88:$N$102,IF(AND(W80="ламель150",W82="50мм"),$V$88:$V$99,$R$88:$R$94))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42</vt:i4>
      </vt:variant>
    </vt:vector>
  </HeadingPairs>
  <TitlesOfParts>
    <vt:vector size="47" baseType="lpstr">
      <vt:lpstr>Milan | Milan Slim</vt:lpstr>
      <vt:lpstr>Tokyo</vt:lpstr>
      <vt:lpstr>Texas</vt:lpstr>
      <vt:lpstr>Palermo</vt:lpstr>
      <vt:lpstr>Штакетник_горизонтальный</vt:lpstr>
      <vt:lpstr>BTYPS</vt:lpstr>
      <vt:lpstr>CBUAQ</vt:lpstr>
      <vt:lpstr>CCCMT</vt:lpstr>
      <vt:lpstr>CEXUI</vt:lpstr>
      <vt:lpstr>DYRFP</vt:lpstr>
      <vt:lpstr>FIGQB</vt:lpstr>
      <vt:lpstr>FYLTY</vt:lpstr>
      <vt:lpstr>GQIBE</vt:lpstr>
      <vt:lpstr>GURGW</vt:lpstr>
      <vt:lpstr>IANCJ</vt:lpstr>
      <vt:lpstr>IQDLQ</vt:lpstr>
      <vt:lpstr>JJEDD</vt:lpstr>
      <vt:lpstr>JSLDC</vt:lpstr>
      <vt:lpstr>KPHTG</vt:lpstr>
      <vt:lpstr>LHMNL</vt:lpstr>
      <vt:lpstr>MilType</vt:lpstr>
      <vt:lpstr>MRGOJ</vt:lpstr>
      <vt:lpstr>MUGNQ</vt:lpstr>
      <vt:lpstr>OGGLT</vt:lpstr>
      <vt:lpstr>PSAXR</vt:lpstr>
      <vt:lpstr>QPAFE</vt:lpstr>
      <vt:lpstr>RCHVF</vt:lpstr>
      <vt:lpstr>RCUTI</vt:lpstr>
      <vt:lpstr>RRWVS</vt:lpstr>
      <vt:lpstr>RWIPI</vt:lpstr>
      <vt:lpstr>SACMX</vt:lpstr>
      <vt:lpstr>TAYYL</vt:lpstr>
      <vt:lpstr>TexType</vt:lpstr>
      <vt:lpstr>TokyoType</vt:lpstr>
      <vt:lpstr>TTAIM</vt:lpstr>
      <vt:lpstr>VNIHD</vt:lpstr>
      <vt:lpstr>VNVOX</vt:lpstr>
      <vt:lpstr>WHMSA</vt:lpstr>
      <vt:lpstr>XCECV</vt:lpstr>
      <vt:lpstr>XODFC</vt:lpstr>
      <vt:lpstr>YAWAO</vt:lpstr>
      <vt:lpstr>'Milan | Milan Slim'!Область_печати</vt:lpstr>
      <vt:lpstr>Palermo!Область_печати</vt:lpstr>
      <vt:lpstr>Texas!Область_печати</vt:lpstr>
      <vt:lpstr>Tokyo!Область_печати</vt:lpstr>
      <vt:lpstr>Штакетник_горизонтальный!Область_печати</vt:lpstr>
      <vt:lpstr>Ф1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oudovenko</dc:creator>
  <cp:lastModifiedBy>Кузнецов Алексей Андреевич</cp:lastModifiedBy>
  <cp:lastPrinted>2025-04-24T11:22:51Z</cp:lastPrinted>
  <dcterms:created xsi:type="dcterms:W3CDTF">2021-04-27T05:53:55Z</dcterms:created>
  <dcterms:modified xsi:type="dcterms:W3CDTF">2025-06-27T08:12:06Z</dcterms:modified>
</cp:coreProperties>
</file>